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lusGroup" sheetId="1" r:id="rId4"/>
    <sheet name="PlusClimatizacion" sheetId="2" r:id="rId5"/>
    <sheet name="MacroClima" sheetId="3" r:id="rId6"/>
    <sheet name="Flujo Mensual" sheetId="4" r:id="rId7"/>
    <sheet name="Resúmen" sheetId="5" r:id="rId8"/>
    <sheet name="Impresión" sheetId="6" r:id="rId9"/>
    <sheet name="Convenios" sheetId="7" r:id="rId10"/>
    <sheet name="Programación" sheetId="8" r:id="rId11"/>
  </sheets>
</workbook>
</file>

<file path=xl/sharedStrings.xml><?xml version="1.0" encoding="utf-8"?>
<sst xmlns="http://schemas.openxmlformats.org/spreadsheetml/2006/main" uniqueCount="1174">
  <si>
    <t>PlusGroup</t>
  </si>
  <si>
    <t>Factura</t>
  </si>
  <si>
    <t>Fecha</t>
  </si>
  <si>
    <t>Cliente</t>
  </si>
  <si>
    <t>Detalle</t>
  </si>
  <si>
    <t>Neto</t>
  </si>
  <si>
    <t>Iva</t>
  </si>
  <si>
    <t>Total</t>
  </si>
  <si>
    <t>Convenio</t>
  </si>
  <si>
    <t>Mantención</t>
  </si>
  <si>
    <t>TJC</t>
  </si>
  <si>
    <t>No Generada</t>
  </si>
  <si>
    <t>Hernán Pardo</t>
  </si>
  <si>
    <t>octubre 2010</t>
  </si>
  <si>
    <t>Pacific Chemical</t>
  </si>
  <si>
    <t>Vision Corp</t>
  </si>
  <si>
    <t>ceva</t>
  </si>
  <si>
    <t>noviembre 2010</t>
  </si>
  <si>
    <t>Ceva</t>
  </si>
  <si>
    <t>Refax</t>
  </si>
  <si>
    <t>5 eólicos</t>
  </si>
  <si>
    <t>7 eólicos</t>
  </si>
  <si>
    <t>UTA</t>
  </si>
  <si>
    <t>Diciembre</t>
  </si>
  <si>
    <t>traslado equipo</t>
  </si>
  <si>
    <t>Disal</t>
  </si>
  <si>
    <t>Portillo</t>
  </si>
  <si>
    <t>Inst 2 Muro 12000</t>
  </si>
  <si>
    <t>diciembre 2010</t>
  </si>
  <si>
    <t>Steward</t>
  </si>
  <si>
    <t>ADC</t>
  </si>
  <si>
    <t>Filtros</t>
  </si>
  <si>
    <t>Enero</t>
  </si>
  <si>
    <t>Ingram Micro</t>
  </si>
  <si>
    <t>Disal Lampa</t>
  </si>
  <si>
    <t>Inst 2 Muro Lampa</t>
  </si>
  <si>
    <t>Suatrans</t>
  </si>
  <si>
    <t>Cambio de apendice</t>
  </si>
  <si>
    <t>CVC</t>
  </si>
  <si>
    <t>Rep. Desagüe</t>
  </si>
  <si>
    <t>Vipal</t>
  </si>
  <si>
    <t>Inst. Ventana 24000</t>
  </si>
  <si>
    <t>Disal Peñalolen</t>
  </si>
  <si>
    <t>Derco</t>
  </si>
  <si>
    <t>Inst. Muro 12000</t>
  </si>
  <si>
    <t>Alfra</t>
  </si>
  <si>
    <t>Inst. Muro 18000</t>
  </si>
  <si>
    <t>Disal ñuñoa</t>
  </si>
  <si>
    <t>enero 2011</t>
  </si>
  <si>
    <t>Horta</t>
  </si>
  <si>
    <t>reparación</t>
  </si>
  <si>
    <t>bandeja</t>
  </si>
  <si>
    <t>Febrero</t>
  </si>
  <si>
    <t>Traslado</t>
  </si>
  <si>
    <t>Reutter</t>
  </si>
  <si>
    <t>Instalación 2 Muro</t>
  </si>
  <si>
    <t>Festo</t>
  </si>
  <si>
    <t>Inst ventana 24K Mant 7vent</t>
  </si>
  <si>
    <t>Winpack</t>
  </si>
  <si>
    <t>Rep. Muro</t>
  </si>
  <si>
    <t>Disal Ñuñoa</t>
  </si>
  <si>
    <t>Rep. Muro Servidores WIC</t>
  </si>
  <si>
    <t>Rep. Sala Wic</t>
  </si>
  <si>
    <t>Colloky</t>
  </si>
  <si>
    <t>Inst 8 muro central</t>
  </si>
  <si>
    <t>Sala Miami</t>
  </si>
  <si>
    <t>Ingefix</t>
  </si>
  <si>
    <t>febrero 2011</t>
  </si>
  <si>
    <t>Inst Muro Servidores Wic</t>
  </si>
  <si>
    <t>NC04</t>
  </si>
  <si>
    <t>Marzo</t>
  </si>
  <si>
    <t>mant 8 ventana</t>
  </si>
  <si>
    <t>automatico y timer</t>
  </si>
  <si>
    <t>motor y aspa</t>
  </si>
  <si>
    <t>Bomba</t>
  </si>
  <si>
    <t>reparación inicial</t>
  </si>
  <si>
    <t>Kikai</t>
  </si>
  <si>
    <t>Computadores</t>
  </si>
  <si>
    <t>Capacitor</t>
  </si>
  <si>
    <t>Damper y Difusor</t>
  </si>
  <si>
    <t>Cambio Capacitor</t>
  </si>
  <si>
    <t>IMEL</t>
  </si>
  <si>
    <t>Reparación servidores</t>
  </si>
  <si>
    <t>marzo 2011</t>
  </si>
  <si>
    <t>Abril</t>
  </si>
  <si>
    <t>Computador</t>
  </si>
  <si>
    <t>Control Remoto</t>
  </si>
  <si>
    <t>Inst Muro 18000</t>
  </si>
  <si>
    <t>Mant Profunda Carrier 60000</t>
  </si>
  <si>
    <t>Traslado equipos</t>
  </si>
  <si>
    <t>Coltrade</t>
  </si>
  <si>
    <t>Rep. Portal Rancagua</t>
  </si>
  <si>
    <t>Polilla</t>
  </si>
  <si>
    <t>Dampers Pza Norte</t>
  </si>
  <si>
    <t>Vatti</t>
  </si>
  <si>
    <t>Inst Muro 12000</t>
  </si>
  <si>
    <t>Reparaciones y Remanentes</t>
  </si>
  <si>
    <t>Servidores Wic 36000</t>
  </si>
  <si>
    <t>Colgram</t>
  </si>
  <si>
    <t>abril 2011</t>
  </si>
  <si>
    <t>NC05</t>
  </si>
  <si>
    <t>Mayo</t>
  </si>
  <si>
    <t>Instalación 2 muro 9000</t>
  </si>
  <si>
    <t>Rep Parque Arauco</t>
  </si>
  <si>
    <t>Habilis</t>
  </si>
  <si>
    <t>Mant rep inicial</t>
  </si>
  <si>
    <t>Interpak</t>
  </si>
  <si>
    <t>Rep Tubería, Mant ventana</t>
  </si>
  <si>
    <t>Instalación 5 muro 9000</t>
  </si>
  <si>
    <t>Instalación Eléctrica</t>
  </si>
  <si>
    <t>Kori  Wasi</t>
  </si>
  <si>
    <t>50% anticipo instalación</t>
  </si>
  <si>
    <t>Mantención servidores</t>
  </si>
  <si>
    <t>Motor Servidores</t>
  </si>
  <si>
    <t>Cambio repuestos</t>
  </si>
  <si>
    <t>Rep Split Ducto</t>
  </si>
  <si>
    <t>Mant y rep ventana reuniones</t>
  </si>
  <si>
    <t>Cambio compresor</t>
  </si>
  <si>
    <t>mayo 2011</t>
  </si>
  <si>
    <t>NC07</t>
  </si>
  <si>
    <t>A Portillo</t>
  </si>
  <si>
    <t>Cambio bomba</t>
  </si>
  <si>
    <t>Junio</t>
  </si>
  <si>
    <t>Inst Difusor, traslado retorno</t>
  </si>
  <si>
    <t>Bomba de condensados</t>
  </si>
  <si>
    <t>reparación electrica</t>
  </si>
  <si>
    <t>Inst Muro 24K</t>
  </si>
  <si>
    <t>A Portezuelo</t>
  </si>
  <si>
    <t>Cambio termostato</t>
  </si>
  <si>
    <t>Anticipo motores y control remoto</t>
  </si>
  <si>
    <t>C Portillo</t>
  </si>
  <si>
    <t>Materiales Compresor huechuraba y traslado condensadores</t>
  </si>
  <si>
    <t>Materiales traslado portillo viejo</t>
  </si>
  <si>
    <t>Materiales iniciales P Hurtado</t>
  </si>
  <si>
    <t>Reparaciones iniciales P Hurtado</t>
  </si>
  <si>
    <t>Rep Tarjeta y transformador</t>
  </si>
  <si>
    <t>Mantención profunda compactos</t>
  </si>
  <si>
    <t>Reparación Gotera</t>
  </si>
  <si>
    <t>junio 2011</t>
  </si>
  <si>
    <t>NC09</t>
  </si>
  <si>
    <t>Julio</t>
  </si>
  <si>
    <t>NC10</t>
  </si>
  <si>
    <t>NC11</t>
  </si>
  <si>
    <t>Ventana caja</t>
  </si>
  <si>
    <t>Mant prof 3 ventana, automatico</t>
  </si>
  <si>
    <t>Piso cielo WIC</t>
  </si>
  <si>
    <t>50% final instalación</t>
  </si>
  <si>
    <t>Cambio rele</t>
  </si>
  <si>
    <t>Mant prof equipo hall</t>
  </si>
  <si>
    <t>Mant levi's Zañartu 17</t>
  </si>
  <si>
    <t>Mant levi's Apoquindo 5 sur</t>
  </si>
  <si>
    <t>Mant levi's Zañartu 3</t>
  </si>
  <si>
    <t>Mant levi's Apoquindo 5 norte</t>
  </si>
  <si>
    <t>Instalación equipo 12000</t>
  </si>
  <si>
    <t>Rep equipo piso 1</t>
  </si>
  <si>
    <t>timer</t>
  </si>
  <si>
    <t>Mant levi's Apoquindo 12 sur</t>
  </si>
  <si>
    <t>calefactores y sentido de giro</t>
  </si>
  <si>
    <t>julio 2011</t>
  </si>
  <si>
    <t>Agosto</t>
  </si>
  <si>
    <t>No generada</t>
  </si>
  <si>
    <t>Mant levi's Apoquindo 12 norte</t>
  </si>
  <si>
    <t>Control remoto vitacura</t>
  </si>
  <si>
    <t>Cambio termostatos</t>
  </si>
  <si>
    <t>reconstrucción equipo compacto</t>
  </si>
  <si>
    <t>Com Los Lagos</t>
  </si>
  <si>
    <t>automaticos Waleska</t>
  </si>
  <si>
    <t>Sierra Gorda</t>
  </si>
  <si>
    <t>2 Art Cool CXN Manquehue</t>
  </si>
  <si>
    <t>Desmontaje equipos Talca</t>
  </si>
  <si>
    <t>Termostato director</t>
  </si>
  <si>
    <t>Rep 2 muro telecom</t>
  </si>
  <si>
    <t>La Cascada</t>
  </si>
  <si>
    <t>Piso 12 costacachagua</t>
  </si>
  <si>
    <t>Golf Zapallar</t>
  </si>
  <si>
    <t>Traslado ventanas</t>
  </si>
  <si>
    <t>GB Arriendos</t>
  </si>
  <si>
    <t>Muro 12000 servidores</t>
  </si>
  <si>
    <t>agosto 2011</t>
  </si>
  <si>
    <t>NC12</t>
  </si>
  <si>
    <t>Septiembre</t>
  </si>
  <si>
    <t>NC13</t>
  </si>
  <si>
    <t>Inst 2 Muro Servidores</t>
  </si>
  <si>
    <t>Scuola</t>
  </si>
  <si>
    <t>Rep Materiales Consiglio</t>
  </si>
  <si>
    <t>Inst 2 muro 9 sala espera</t>
  </si>
  <si>
    <t>Traslado condensador</t>
  </si>
  <si>
    <t>Arreglo frio calor atención al cliente</t>
  </si>
  <si>
    <t>Mano de obra Compresor huechuraba y traslado condensadores</t>
  </si>
  <si>
    <t>Monteolivos</t>
  </si>
  <si>
    <t>Termostato resistencia monteolivos</t>
  </si>
  <si>
    <t>Rep eq 2º piso</t>
  </si>
  <si>
    <t>Rep M Obra Consiglio</t>
  </si>
  <si>
    <t>Cambio termostato y rele ahumada</t>
  </si>
  <si>
    <t>septiembre 2011</t>
  </si>
  <si>
    <t>LKW</t>
  </si>
  <si>
    <t>Inst 2 muro 12000</t>
  </si>
  <si>
    <t>Octubre</t>
  </si>
  <si>
    <t>Musicamix</t>
  </si>
  <si>
    <t>Inst 9000</t>
  </si>
  <si>
    <t>J Lasnibat</t>
  </si>
  <si>
    <t>Inst 12000</t>
  </si>
  <si>
    <t>Rep 6 ductos</t>
  </si>
  <si>
    <t>Cambio automatico</t>
  </si>
  <si>
    <t>Rep Eq director</t>
  </si>
  <si>
    <t>Arreglos</t>
  </si>
  <si>
    <t>octubre 2011</t>
  </si>
  <si>
    <t>NC14</t>
  </si>
  <si>
    <t>260</t>
  </si>
  <si>
    <t>NC15</t>
  </si>
  <si>
    <t>261</t>
  </si>
  <si>
    <t>Noviembre</t>
  </si>
  <si>
    <t>H Nuñez</t>
  </si>
  <si>
    <t>Inst Muro Melipilla</t>
  </si>
  <si>
    <t>cambio compresor</t>
  </si>
  <si>
    <t>noviembre 2011</t>
  </si>
  <si>
    <t>Borditex</t>
  </si>
  <si>
    <t>Inst AA</t>
  </si>
  <si>
    <t>Inst AA Rancagua</t>
  </si>
  <si>
    <t>Inst AA JMO</t>
  </si>
  <si>
    <t>Inst AA P Lurs</t>
  </si>
  <si>
    <t>Mant Docker's</t>
  </si>
  <si>
    <t>Facil Musica</t>
  </si>
  <si>
    <t>Mant Inst Servidores</t>
  </si>
  <si>
    <t>Jorcka</t>
  </si>
  <si>
    <t>Inst Servidores</t>
  </si>
  <si>
    <t>Rep Piso cielo subaru</t>
  </si>
  <si>
    <t>Tefix</t>
  </si>
  <si>
    <t>Mant inicial</t>
  </si>
  <si>
    <t>Mant Zañartu</t>
  </si>
  <si>
    <t>Kori Wasi</t>
  </si>
  <si>
    <t>Inst muro 12000</t>
  </si>
  <si>
    <t>Inst Muro 18000 CB</t>
  </si>
  <si>
    <t>diciembre 2011</t>
  </si>
  <si>
    <t>NC17</t>
  </si>
  <si>
    <t>Rep Ducto Casino</t>
  </si>
  <si>
    <t>Inst muro 9000</t>
  </si>
  <si>
    <t>Inst ventana 9000</t>
  </si>
  <si>
    <t>La farfana</t>
  </si>
  <si>
    <t>Traslado Condensador</t>
  </si>
  <si>
    <t>Rep Apoquindo 5 sur</t>
  </si>
  <si>
    <t>VideoJet</t>
  </si>
  <si>
    <t>Enero y otros</t>
  </si>
  <si>
    <t>Octubre - Enero</t>
  </si>
  <si>
    <t>Rep Marketing</t>
  </si>
  <si>
    <t>Inst 2 muro P Gutiérrez, R O'ryan</t>
  </si>
  <si>
    <t>enero 2012</t>
  </si>
  <si>
    <t>NC18</t>
  </si>
  <si>
    <t>dampers pza vespucio</t>
  </si>
  <si>
    <t>coltrade</t>
  </si>
  <si>
    <t>mant casona las condes</t>
  </si>
  <si>
    <t>winpack</t>
  </si>
  <si>
    <t>servidores quilicura</t>
  </si>
  <si>
    <t>Portezuelo</t>
  </si>
  <si>
    <t>3 piso cielo irarrazaval</t>
  </si>
  <si>
    <t>fashion</t>
  </si>
  <si>
    <t>VH apumanque</t>
  </si>
  <si>
    <t>No</t>
  </si>
  <si>
    <t>rep ductos wic apoquindo</t>
  </si>
  <si>
    <t>rep motor it</t>
  </si>
  <si>
    <t>febrero 2012</t>
  </si>
  <si>
    <t>Inst ventana directorio</t>
  </si>
  <si>
    <t>Inst AA dimensión central</t>
  </si>
  <si>
    <t>NC021</t>
  </si>
  <si>
    <t>Rep Piso Cielo Toyota vitacura</t>
  </si>
  <si>
    <t>NC019</t>
  </si>
  <si>
    <t>Inst 2 muro 24 wic apoquindo</t>
  </si>
  <si>
    <t>Inst Compañía</t>
  </si>
  <si>
    <t>Rio Exploradores</t>
  </si>
  <si>
    <t>Reparaciones 1</t>
  </si>
  <si>
    <t>Inst Muro Carlos Rojas</t>
  </si>
  <si>
    <t>Inst Cubre Termo Miami</t>
  </si>
  <si>
    <t>Rep Aspa Sala Reunion</t>
  </si>
  <si>
    <t>Cambio válvula reversible</t>
  </si>
  <si>
    <t>marzo 2012</t>
  </si>
  <si>
    <t>Inst El roble</t>
  </si>
  <si>
    <t>NC020</t>
  </si>
  <si>
    <t>Filtrado ref</t>
  </si>
  <si>
    <t>Bomba condensados toyota vitacura</t>
  </si>
  <si>
    <t>Inst muro casona</t>
  </si>
  <si>
    <t>Inst opaline panoramico</t>
  </si>
  <si>
    <t>NC024</t>
  </si>
  <si>
    <t>abril 2012</t>
  </si>
  <si>
    <t>Ventana Eduardo Lagos</t>
  </si>
  <si>
    <t>Inst 2 equipos 1/3</t>
  </si>
  <si>
    <t>Traslado Ventana a bodega</t>
  </si>
  <si>
    <t>Inst Ventana Container Peñalolen</t>
  </si>
  <si>
    <t>Cambio Tarjeta Servicio Vitacura</t>
  </si>
  <si>
    <t>mayo 2012</t>
  </si>
  <si>
    <t>Inst 2 equipos 3/3</t>
  </si>
  <si>
    <t>Traslado Equipo Fco Benedeto</t>
  </si>
  <si>
    <t>Mantención Zañartu</t>
  </si>
  <si>
    <t>junio 2012</t>
  </si>
  <si>
    <t>Comercial los lagos</t>
  </si>
  <si>
    <t>Rep Fancoil sala reuniones</t>
  </si>
  <si>
    <t>Jorge Lasnibat</t>
  </si>
  <si>
    <t>Inst Muro RRHH</t>
  </si>
  <si>
    <t>julio 2012</t>
  </si>
  <si>
    <t>Fashion Company</t>
  </si>
  <si>
    <t>Reparacion aire</t>
  </si>
  <si>
    <t>Mantención Chiller</t>
  </si>
  <si>
    <t>Mantención Servidores</t>
  </si>
  <si>
    <t>Rep Motor Miami</t>
  </si>
  <si>
    <t>Rep Opaline Apumanque</t>
  </si>
  <si>
    <t>agosto 2012</t>
  </si>
  <si>
    <t>Inst Bilbao Nuevo</t>
  </si>
  <si>
    <t>septiembre 2012</t>
  </si>
  <si>
    <t>Portabili</t>
  </si>
  <si>
    <t>Inst Casino 1</t>
  </si>
  <si>
    <t>Mano Obra Casino 1</t>
  </si>
  <si>
    <t>Inst Piso Cielo Sala Electrica</t>
  </si>
  <si>
    <t>Rep Motor AA</t>
  </si>
  <si>
    <t>Amerindia</t>
  </si>
  <si>
    <t>Mant piso cielo</t>
  </si>
  <si>
    <t>Mant Agosto Chiller Quilicura</t>
  </si>
  <si>
    <t>octubre 2012</t>
  </si>
  <si>
    <t>Manufacturas Eblen</t>
  </si>
  <si>
    <t>Inst Casino 2</t>
  </si>
  <si>
    <t>Tecnocomposites</t>
  </si>
  <si>
    <t>Inst 2 muro</t>
  </si>
  <si>
    <t>Inst Roberto San Martin</t>
  </si>
  <si>
    <t>Rep Camara de frio</t>
  </si>
  <si>
    <t>Rep AA Casino 0</t>
  </si>
  <si>
    <t>Inst Casino AO</t>
  </si>
  <si>
    <t>noviembre 2012</t>
  </si>
  <si>
    <t>Equipos Casino 3</t>
  </si>
  <si>
    <t>diciembre 2012</t>
  </si>
  <si>
    <t>Inst Rancagua</t>
  </si>
  <si>
    <t>Inst andrea Herrera y 2 cambios</t>
  </si>
  <si>
    <t>Inst Casino</t>
  </si>
  <si>
    <t>Inst RRHH</t>
  </si>
  <si>
    <t>Mano Obra AME</t>
  </si>
  <si>
    <t>Rep AA Buenaventura</t>
  </si>
  <si>
    <t>Inst Facturación</t>
  </si>
  <si>
    <t>NC022</t>
  </si>
  <si>
    <t>NC023</t>
  </si>
  <si>
    <t>Mant Padre Hurtado</t>
  </si>
  <si>
    <t>Rep y Mant San Pablo</t>
  </si>
  <si>
    <t>Mantención Noviembre</t>
  </si>
  <si>
    <t>Inst 12000 Jaime Schirmer</t>
  </si>
  <si>
    <t>Inst Carlos Muñoz</t>
  </si>
  <si>
    <t>Inst ComX RRHH</t>
  </si>
  <si>
    <t>Inst Juan Ignacio Luhrs</t>
  </si>
  <si>
    <t>Mant 2 equipos</t>
  </si>
  <si>
    <t>traslado equipo ventana</t>
  </si>
  <si>
    <t>enero 2013</t>
  </si>
  <si>
    <t>Inst muro 9000 rrhh huechuraba</t>
  </si>
  <si>
    <t>Inst muro 9000 Eric Larsen</t>
  </si>
  <si>
    <t>Inst muro 9000 Salita ñuñoa</t>
  </si>
  <si>
    <t>Mant eq ducto huechuraba</t>
  </si>
  <si>
    <t>Mant varios</t>
  </si>
  <si>
    <t>febrero 2013</t>
  </si>
  <si>
    <t>NC025</t>
  </si>
  <si>
    <t>Mant tablero y electrica</t>
  </si>
  <si>
    <t>Mant ventanas</t>
  </si>
  <si>
    <t>Inst Padre Hurtado</t>
  </si>
  <si>
    <t>Traslado Piso Cielo</t>
  </si>
  <si>
    <t>Peluqueria NE</t>
  </si>
  <si>
    <t>Valenzuela y Escobedo</t>
  </si>
  <si>
    <t>marzo 2013</t>
  </si>
  <si>
    <t>Inst Electrica y traslados</t>
  </si>
  <si>
    <t>Grego Mar</t>
  </si>
  <si>
    <t>Rep Fuenzalida</t>
  </si>
  <si>
    <t>Cambio Bombas</t>
  </si>
  <si>
    <t>abril 2013</t>
  </si>
  <si>
    <t>NC026</t>
  </si>
  <si>
    <t>Cn Nota de credito</t>
  </si>
  <si>
    <t>5 cortinas de aire</t>
  </si>
  <si>
    <t>Rep Ramon Eblen</t>
  </si>
  <si>
    <t>mayo 2013</t>
  </si>
  <si>
    <t>NC027</t>
  </si>
  <si>
    <t>Inst Consiglio y renovacion</t>
  </si>
  <si>
    <t>Inst 2 muro 18 peñalolen</t>
  </si>
  <si>
    <t>Compresor Dehesa</t>
  </si>
  <si>
    <t>Materiales UM1</t>
  </si>
  <si>
    <t>Materiales UM2</t>
  </si>
  <si>
    <t>Compresor Reunion</t>
  </si>
  <si>
    <t>Mano Obra UM1</t>
  </si>
  <si>
    <t>Mano Obra UM2</t>
  </si>
  <si>
    <t>Motor Equipo Servicio Vit</t>
  </si>
  <si>
    <t>junio 2013</t>
  </si>
  <si>
    <t>Entretenciones y Promo</t>
  </si>
  <si>
    <t>Rep Control</t>
  </si>
  <si>
    <t>Materiales UM3</t>
  </si>
  <si>
    <t>Disal Rancagua</t>
  </si>
  <si>
    <t>Febrero-Mayo</t>
  </si>
  <si>
    <t>julio 2013</t>
  </si>
  <si>
    <t>Mano Obra UM3</t>
  </si>
  <si>
    <t>Abril  2012</t>
  </si>
  <si>
    <t>Mayo  2012</t>
  </si>
  <si>
    <t>Junio  2012</t>
  </si>
  <si>
    <t>Julio  2012</t>
  </si>
  <si>
    <t>Agosto  2012</t>
  </si>
  <si>
    <t>Septiembre  2012</t>
  </si>
  <si>
    <t>Octubre  2012</t>
  </si>
  <si>
    <t>Noviembre  2012</t>
  </si>
  <si>
    <t>Diciembre  2012</t>
  </si>
  <si>
    <t>Enero 2013</t>
  </si>
  <si>
    <t>Febrero 2013</t>
  </si>
  <si>
    <t>Marzo 2013</t>
  </si>
  <si>
    <t>Abril  2013</t>
  </si>
  <si>
    <t>Mayo  2013</t>
  </si>
  <si>
    <t>Junio  2013</t>
  </si>
  <si>
    <t>Julio  2013</t>
  </si>
  <si>
    <t>Materiales UM4</t>
  </si>
  <si>
    <t>Mano Obra UM4</t>
  </si>
  <si>
    <t>agosto 2013</t>
  </si>
  <si>
    <t>Inst muro lavapelo</t>
  </si>
  <si>
    <t>Buenaventura Septiembre</t>
  </si>
  <si>
    <t>Valvula recepcion 5N</t>
  </si>
  <si>
    <t>septiembre 2013</t>
  </si>
  <si>
    <t>NC028</t>
  </si>
  <si>
    <t>Eq y Mat UM5</t>
  </si>
  <si>
    <t>Mano Obra UM5</t>
  </si>
  <si>
    <t>Rep 3 equipos</t>
  </si>
  <si>
    <t>Mant Extra Servidores</t>
  </si>
  <si>
    <t>octubre 2013</t>
  </si>
  <si>
    <t>Eq 12000 Concha y Toro</t>
  </si>
  <si>
    <t>Compresor Sala Chile</t>
  </si>
  <si>
    <t>Termostato Casino</t>
  </si>
  <si>
    <t>Battery Street</t>
  </si>
  <si>
    <t>Mant Tablero</t>
  </si>
  <si>
    <t>Inst Muro 18 Soporte</t>
  </si>
  <si>
    <t>Cambio bomba egresos</t>
  </si>
  <si>
    <t>Reparacion fuga</t>
  </si>
  <si>
    <t>noviembre 2013</t>
  </si>
  <si>
    <t>NC029</t>
  </si>
  <si>
    <t>Nula NC029</t>
  </si>
  <si>
    <t>NC030</t>
  </si>
  <si>
    <t>Nula NC030</t>
  </si>
  <si>
    <t>NC031</t>
  </si>
  <si>
    <t>Nula NC031</t>
  </si>
  <si>
    <t>NC032</t>
  </si>
  <si>
    <t>Nula NC032</t>
  </si>
  <si>
    <t>NC034</t>
  </si>
  <si>
    <t>Nula NC034</t>
  </si>
  <si>
    <t>NC035</t>
  </si>
  <si>
    <t>Nula NC035</t>
  </si>
  <si>
    <t>NC036</t>
  </si>
  <si>
    <t>Nula NC036</t>
  </si>
  <si>
    <t>Mant Apoquindo 5S</t>
  </si>
  <si>
    <t>Nula NC037</t>
  </si>
  <si>
    <t>Nula NC038</t>
  </si>
  <si>
    <t>Nula NC039</t>
  </si>
  <si>
    <t>diciembre 2013</t>
  </si>
  <si>
    <t>Inst AA Compañía</t>
  </si>
  <si>
    <t>inst 2 muro</t>
  </si>
  <si>
    <t>Ints muro bodega sn juan</t>
  </si>
  <si>
    <t>cambio bomba</t>
  </si>
  <si>
    <t>Fashion</t>
  </si>
  <si>
    <t>Rep Apoquindo 5S</t>
  </si>
  <si>
    <t>Inst 4 equipos lampa</t>
  </si>
  <si>
    <t>Rep Equipo Servidores Lampa</t>
  </si>
  <si>
    <t>Rep Control Equipo</t>
  </si>
  <si>
    <t>Inst Muro 12000 Desarrollo</t>
  </si>
  <si>
    <t>Inst Servicio</t>
  </si>
  <si>
    <t>Inst 3 Piso Cielo Toyota vitacura</t>
  </si>
  <si>
    <t>Soc Medica Pinto y Toledo</t>
  </si>
  <si>
    <t>Inst 2 equipos AA</t>
  </si>
  <si>
    <t>mant 2 muro</t>
  </si>
  <si>
    <t>enero 2014</t>
  </si>
  <si>
    <t>NC037</t>
  </si>
  <si>
    <t>NC038</t>
  </si>
  <si>
    <t>NC039</t>
  </si>
  <si>
    <t>NC040</t>
  </si>
  <si>
    <t>Error Tipeo F898</t>
  </si>
  <si>
    <t>Hugo Nuñez</t>
  </si>
  <si>
    <t>inst 1 muro</t>
  </si>
  <si>
    <t>Inst muro 24 modelaje</t>
  </si>
  <si>
    <t>Febrero Nula NC040</t>
  </si>
  <si>
    <t>febrero 2014</t>
  </si>
  <si>
    <t>marzo 2014</t>
  </si>
  <si>
    <t>abril 2014</t>
  </si>
  <si>
    <t>mayo 2014</t>
  </si>
  <si>
    <t>Fp1</t>
  </si>
  <si>
    <t>Fp2</t>
  </si>
  <si>
    <t>Fp3</t>
  </si>
  <si>
    <t>Rep Recepción</t>
  </si>
  <si>
    <t>Fp4</t>
  </si>
  <si>
    <t>Fp5</t>
  </si>
  <si>
    <t>Fp6</t>
  </si>
  <si>
    <t>Fp7</t>
  </si>
  <si>
    <t>Fp8</t>
  </si>
  <si>
    <t>Nelson Lillo</t>
  </si>
  <si>
    <t>Fp9</t>
  </si>
  <si>
    <t>Casino</t>
  </si>
  <si>
    <t>Fp10</t>
  </si>
  <si>
    <t>Ingram</t>
  </si>
  <si>
    <t>junio 2014</t>
  </si>
  <si>
    <t>julio 2014</t>
  </si>
  <si>
    <t>Fp11</t>
  </si>
  <si>
    <t>Fp12</t>
  </si>
  <si>
    <t>Fp13</t>
  </si>
  <si>
    <t>Julio agosto</t>
  </si>
  <si>
    <t>Fp14</t>
  </si>
  <si>
    <t>Fp15</t>
  </si>
  <si>
    <t>Fp16</t>
  </si>
  <si>
    <t>Fp17</t>
  </si>
  <si>
    <t>Fp18</t>
  </si>
  <si>
    <t>varios</t>
  </si>
  <si>
    <t>Fp19</t>
  </si>
  <si>
    <t>Fp20</t>
  </si>
  <si>
    <t>Zañartu</t>
  </si>
  <si>
    <t>Fp21</t>
  </si>
  <si>
    <t>Fp22</t>
  </si>
  <si>
    <t>Fp23</t>
  </si>
  <si>
    <t>Fp24</t>
  </si>
  <si>
    <t>Fp25</t>
  </si>
  <si>
    <t>Desagüe Consiglio</t>
  </si>
  <si>
    <t>Fp26</t>
  </si>
  <si>
    <t>Equipo 2 teatro</t>
  </si>
  <si>
    <t>Fp27</t>
  </si>
  <si>
    <t>Fp28</t>
  </si>
  <si>
    <t>Fp29</t>
  </si>
  <si>
    <t>Fp30</t>
  </si>
  <si>
    <t>Fp31</t>
  </si>
  <si>
    <t>Fp32</t>
  </si>
  <si>
    <t>Fp33</t>
  </si>
  <si>
    <t>Marzo agosto</t>
  </si>
  <si>
    <t>Fp34</t>
  </si>
  <si>
    <t>Koriwasi</t>
  </si>
  <si>
    <t>Fp35</t>
  </si>
  <si>
    <t>agosto</t>
  </si>
  <si>
    <t>Fp36</t>
  </si>
  <si>
    <t>Fp37</t>
  </si>
  <si>
    <t>Fp38</t>
  </si>
  <si>
    <t>Fp39</t>
  </si>
  <si>
    <t>Fp40</t>
  </si>
  <si>
    <t>Fp41</t>
  </si>
  <si>
    <t>Battery</t>
  </si>
  <si>
    <t>Febrero Agosto</t>
  </si>
  <si>
    <t>Fp42</t>
  </si>
  <si>
    <t>Eblen</t>
  </si>
  <si>
    <t>Fp43</t>
  </si>
  <si>
    <t>Fp44</t>
  </si>
  <si>
    <t>Marzo Abril Mayo</t>
  </si>
  <si>
    <t>Fp45</t>
  </si>
  <si>
    <t>Jun Jul Ago</t>
  </si>
  <si>
    <t>Fp46</t>
  </si>
  <si>
    <t>Fp47</t>
  </si>
  <si>
    <t>Fp48</t>
  </si>
  <si>
    <t>Garcia Burr</t>
  </si>
  <si>
    <t>Servidor</t>
  </si>
  <si>
    <t>Fp49</t>
  </si>
  <si>
    <t>Fp50</t>
  </si>
  <si>
    <t>agosto 2014</t>
  </si>
  <si>
    <t>Rep Chiller</t>
  </si>
  <si>
    <t>Gabriel Vegas</t>
  </si>
  <si>
    <t>Inst Equipo</t>
  </si>
  <si>
    <t>NC42</t>
  </si>
  <si>
    <t>F912</t>
  </si>
  <si>
    <t>Mª Fernanda Gonzalez</t>
  </si>
  <si>
    <t>Mant Sept-Oct-Nov</t>
  </si>
  <si>
    <t>Megafrio</t>
  </si>
  <si>
    <t>Inst equipos</t>
  </si>
  <si>
    <t>KoriWasi</t>
  </si>
  <si>
    <t>Los Lagos</t>
  </si>
  <si>
    <t>Mant 16 equipos</t>
  </si>
  <si>
    <t>Mant Noviembre</t>
  </si>
  <si>
    <t>Mant equipos</t>
  </si>
  <si>
    <t>Control remoto</t>
  </si>
  <si>
    <t>Inst Eq Servidores</t>
  </si>
  <si>
    <t>Inst Eq Servicio Bilbao</t>
  </si>
  <si>
    <t>Inst Eq comedor Gerencia</t>
  </si>
  <si>
    <t>Rep Padre Hurtado</t>
  </si>
  <si>
    <t>Bomba Nissan Vitacura</t>
  </si>
  <si>
    <t>Rep</t>
  </si>
  <si>
    <t>FP51</t>
  </si>
  <si>
    <t>FP52</t>
  </si>
  <si>
    <t>FP53</t>
  </si>
  <si>
    <t>Mant Sept-Oct-Nov + rep</t>
  </si>
  <si>
    <t>FP54</t>
  </si>
  <si>
    <t>Nula</t>
  </si>
  <si>
    <t>FP55</t>
  </si>
  <si>
    <t>Mant 2012-13-14 + rep</t>
  </si>
  <si>
    <t>FP56</t>
  </si>
  <si>
    <t>FP57</t>
  </si>
  <si>
    <t>FP58</t>
  </si>
  <si>
    <t>FP59</t>
  </si>
  <si>
    <t>FP60</t>
  </si>
  <si>
    <t>FP61</t>
  </si>
  <si>
    <t>FP62</t>
  </si>
  <si>
    <t>FP63</t>
  </si>
  <si>
    <t>FP64</t>
  </si>
  <si>
    <t>FP65</t>
  </si>
  <si>
    <t>FP66</t>
  </si>
  <si>
    <t>FP67</t>
  </si>
  <si>
    <t>FP68</t>
  </si>
  <si>
    <t>FP69</t>
  </si>
  <si>
    <t>FP70</t>
  </si>
  <si>
    <t>FP71</t>
  </si>
  <si>
    <t>Disal Calera</t>
  </si>
  <si>
    <t>Inst Eq</t>
  </si>
  <si>
    <t>FP72</t>
  </si>
  <si>
    <t>Inst Eq Of Tránsito</t>
  </si>
  <si>
    <t>noviembre 2014</t>
  </si>
  <si>
    <t>NC43</t>
  </si>
  <si>
    <t>F634</t>
  </si>
  <si>
    <t>NC44</t>
  </si>
  <si>
    <t>F635</t>
  </si>
  <si>
    <t>NC45</t>
  </si>
  <si>
    <t>F636</t>
  </si>
  <si>
    <t>NC46</t>
  </si>
  <si>
    <t>F637</t>
  </si>
  <si>
    <t>NC47</t>
  </si>
  <si>
    <t>F638</t>
  </si>
  <si>
    <t>Fact 634-635-636-637-638</t>
  </si>
  <si>
    <t>Fact Marzo 2013</t>
  </si>
  <si>
    <t>Fact Abril 2013</t>
  </si>
  <si>
    <t>Mant locales</t>
  </si>
  <si>
    <t>AME</t>
  </si>
  <si>
    <t>Rep Profunda</t>
  </si>
  <si>
    <t>Reparaciones</t>
  </si>
  <si>
    <t>Mant tiendas</t>
  </si>
  <si>
    <t>diciembre 2014</t>
  </si>
  <si>
    <t>NC48</t>
  </si>
  <si>
    <t>F782</t>
  </si>
  <si>
    <t>NC49</t>
  </si>
  <si>
    <t>F923</t>
  </si>
  <si>
    <t>Inst eq Mant Mec</t>
  </si>
  <si>
    <t>Disal Los Andes</t>
  </si>
  <si>
    <t>Inst eq Los Andes</t>
  </si>
  <si>
    <t>Hotel Manquehue</t>
  </si>
  <si>
    <t>Inst Materiales Eq Salones</t>
  </si>
  <si>
    <t>Inst Eq Andres Cabello</t>
  </si>
  <si>
    <t>Inst Eq Osvaldo Pérez</t>
  </si>
  <si>
    <t>Cambio bombas</t>
  </si>
  <si>
    <t>Rep Sala Servidores</t>
  </si>
  <si>
    <t>Control remoto La Dehesa</t>
  </si>
  <si>
    <t>no emitida</t>
  </si>
  <si>
    <t>Ame</t>
  </si>
  <si>
    <t>enero 2015</t>
  </si>
  <si>
    <t>La Creme</t>
  </si>
  <si>
    <t>Inst y Rep</t>
  </si>
  <si>
    <t>Disal Sn Rafael</t>
  </si>
  <si>
    <t>Disal Curicó</t>
  </si>
  <si>
    <t>febrero 2015</t>
  </si>
  <si>
    <t>marzo 2015</t>
  </si>
  <si>
    <t>FP73</t>
  </si>
  <si>
    <t>Mant AA Locales</t>
  </si>
  <si>
    <t>FP74</t>
  </si>
  <si>
    <t>FP75</t>
  </si>
  <si>
    <t>Mant AA Feb Mar Abr</t>
  </si>
  <si>
    <t>abril 2015</t>
  </si>
  <si>
    <t>FP76</t>
  </si>
  <si>
    <t>Mant AA Abril</t>
  </si>
  <si>
    <t>FP77</t>
  </si>
  <si>
    <t>FP78</t>
  </si>
  <si>
    <t>FP79</t>
  </si>
  <si>
    <t>Mant AA Ene Feb</t>
  </si>
  <si>
    <t>mayo 2015</t>
  </si>
  <si>
    <t>FP80</t>
  </si>
  <si>
    <t>Mant AA Mar Abr May</t>
  </si>
  <si>
    <t>Mant May Jun</t>
  </si>
  <si>
    <t>Mant OC 11226</t>
  </si>
  <si>
    <t>Mant OC 11225 11254 11222</t>
  </si>
  <si>
    <t>Mant OC 10828 11220 11219</t>
  </si>
  <si>
    <t>Mant OC 10632</t>
  </si>
  <si>
    <t>Disal La Pintana</t>
  </si>
  <si>
    <t>Inst Planta baja y cocina</t>
  </si>
  <si>
    <t>Mant Febrero</t>
  </si>
  <si>
    <t>Mant Marzo</t>
  </si>
  <si>
    <t>Mant Abril</t>
  </si>
  <si>
    <t>Mant Mayo</t>
  </si>
  <si>
    <t>Mant Junio</t>
  </si>
  <si>
    <t>Mant Abr May Jun</t>
  </si>
  <si>
    <t>Mant Feb Mar</t>
  </si>
  <si>
    <t>Mano Obra Ceibos Lingues Alerces Gerencia</t>
  </si>
  <si>
    <t>Cabello y Soto</t>
  </si>
  <si>
    <t>Mant Salones Dic Ene</t>
  </si>
  <si>
    <t>Rep Los Robles</t>
  </si>
  <si>
    <t>Mant Palladio Dic</t>
  </si>
  <si>
    <t>Mant Rosal Feb</t>
  </si>
  <si>
    <t>Rep Varias Palladio</t>
  </si>
  <si>
    <t>Traslado Eq a Pinar</t>
  </si>
  <si>
    <t>Mant Abr May</t>
  </si>
  <si>
    <t>Mant Central Febrero</t>
  </si>
  <si>
    <t>Mant Central Marzo</t>
  </si>
  <si>
    <t>Mant Central Abril</t>
  </si>
  <si>
    <t>Mant Central May</t>
  </si>
  <si>
    <t>Mant Central Junio</t>
  </si>
  <si>
    <t>Mant Farfana Feb Mar Abr May Jun</t>
  </si>
  <si>
    <t>Mant Feb Mar Abr May Jun Servidores Central</t>
  </si>
  <si>
    <t>Inst Paine</t>
  </si>
  <si>
    <t>Inst Logistica</t>
  </si>
  <si>
    <t>junio 2015</t>
  </si>
  <si>
    <t>Mant Dic a Julio</t>
  </si>
  <si>
    <t>Feb - Mar - Abr</t>
  </si>
  <si>
    <t>Servidores Sep - Oct - Nov</t>
  </si>
  <si>
    <t>Servidores Feb - Mar - Abr</t>
  </si>
  <si>
    <t>Oficinas Mar-Abr-May</t>
  </si>
  <si>
    <t>Julio + 1/5 deuda</t>
  </si>
  <si>
    <t>julio 2015</t>
  </si>
  <si>
    <t>Los Montes</t>
  </si>
  <si>
    <t>Mant ene-Feb</t>
  </si>
  <si>
    <t>Mant Marzo Abril</t>
  </si>
  <si>
    <t>Mant Junio Julio</t>
  </si>
  <si>
    <t>Disal Ñuñoa (NC)</t>
  </si>
  <si>
    <t>Inst cocina Pta Baja</t>
  </si>
  <si>
    <t>Mant Abril May Jun</t>
  </si>
  <si>
    <t>Mant Jul Ago</t>
  </si>
  <si>
    <t>Mant Agosto</t>
  </si>
  <si>
    <t>Mant Mayo Jun Jul</t>
  </si>
  <si>
    <t>Mant of Junio Julio Ago</t>
  </si>
  <si>
    <t>Disal Alto Maipo</t>
  </si>
  <si>
    <t>inst</t>
  </si>
  <si>
    <t>Mant Palladio Febrero</t>
  </si>
  <si>
    <t>Mant Rosal Abril</t>
  </si>
  <si>
    <t>Feb-Mar-Abr</t>
  </si>
  <si>
    <t>Jul Ago</t>
  </si>
  <si>
    <t>Central Julio Agosto</t>
  </si>
  <si>
    <t>Farfana Julio Agosto</t>
  </si>
  <si>
    <t>Servidores Julio agosto</t>
  </si>
  <si>
    <t>Inst Carlos Capella</t>
  </si>
  <si>
    <t>agosto 2015</t>
  </si>
  <si>
    <t>Mant Septiembre</t>
  </si>
  <si>
    <t>Pilar Navarro</t>
  </si>
  <si>
    <t>inst 3AA</t>
  </si>
  <si>
    <t>Inst American Soho</t>
  </si>
  <si>
    <t>Uta</t>
  </si>
  <si>
    <t>Mant Agosto sept</t>
  </si>
  <si>
    <t>Instalación Vitacura</t>
  </si>
  <si>
    <t>Mant Apoquindo 5N</t>
  </si>
  <si>
    <t>Duomo</t>
  </si>
  <si>
    <t>Mant Piso Cielo Enero</t>
  </si>
  <si>
    <t>Mant Palladio Mayo</t>
  </si>
  <si>
    <t>Mant Rosal Jun Jul Ago</t>
  </si>
  <si>
    <t>Mantencíon</t>
  </si>
  <si>
    <t>Sanata Marta</t>
  </si>
  <si>
    <t>Instalación 3 equipos</t>
  </si>
  <si>
    <t>Mant y Rep</t>
  </si>
  <si>
    <t>Rep la dehesa</t>
  </si>
  <si>
    <t>Rep Motor Irarrazaval</t>
  </si>
  <si>
    <t>Mant Septi</t>
  </si>
  <si>
    <t>Mant Ago Sept</t>
  </si>
  <si>
    <t>Mant May Jun Jul</t>
  </si>
  <si>
    <t>Instalación 4 muros</t>
  </si>
  <si>
    <t>Septiembre 2015</t>
  </si>
  <si>
    <t>Octubre 2015</t>
  </si>
  <si>
    <t>Mant Octubre</t>
  </si>
  <si>
    <t>Mant Ago Sept Oct</t>
  </si>
  <si>
    <t>Mant Oct Nov</t>
  </si>
  <si>
    <t>DRS</t>
  </si>
  <si>
    <t>Inst Vitacura</t>
  </si>
  <si>
    <t>GDE</t>
  </si>
  <si>
    <t>Noviembre 2015</t>
  </si>
  <si>
    <t>Re Facturación 1153</t>
  </si>
  <si>
    <t>Hotelera del alto</t>
  </si>
  <si>
    <t>Materiales</t>
  </si>
  <si>
    <t>Mant Diciembre</t>
  </si>
  <si>
    <t>Diciembre 2015</t>
  </si>
  <si>
    <t>Mant Enero</t>
  </si>
  <si>
    <t>Enero 2016</t>
  </si>
  <si>
    <t>Tabla 2</t>
  </si>
  <si>
    <t>septiembre 2014</t>
  </si>
  <si>
    <t>septiembre 2015</t>
  </si>
  <si>
    <t>octubre 2014</t>
  </si>
  <si>
    <t>octubre 2015</t>
  </si>
  <si>
    <t>noviembre 2015</t>
  </si>
  <si>
    <t>diciembre 2015</t>
  </si>
  <si>
    <t>PlusClimatizacion</t>
  </si>
  <si>
    <t>Hotel del Alto Spa</t>
  </si>
  <si>
    <t>Equipos</t>
  </si>
  <si>
    <t>Espinola y Compañía Limitada</t>
  </si>
  <si>
    <t>Mantención e instalación</t>
  </si>
  <si>
    <t>Confecciones Magma Limitada</t>
  </si>
  <si>
    <t>Intalación</t>
  </si>
  <si>
    <t>Automotriz Los Montes S.A.</t>
  </si>
  <si>
    <t>Cambio Bomba Condensado</t>
  </si>
  <si>
    <t>Disal Chile Sanitarios Portables Limitada</t>
  </si>
  <si>
    <t>Instalación</t>
  </si>
  <si>
    <t>ANDES MINING &amp; ENERGY CORPORATE S.A</t>
  </si>
  <si>
    <t>cambio de Válvulas</t>
  </si>
  <si>
    <t>DEL RIO Y COMPANIA LIMITADA</t>
  </si>
  <si>
    <t xml:space="preserve">mantención </t>
  </si>
  <si>
    <t>VALENZUELA &amp; ESCOBEDO LIMITADA</t>
  </si>
  <si>
    <t>mantención</t>
  </si>
  <si>
    <t>COLGRAM S.A.</t>
  </si>
  <si>
    <t>UNION TECNICA AUTOMOTRIZ S.A.</t>
  </si>
  <si>
    <t>enero 2016</t>
  </si>
  <si>
    <t>DISAL CHILE SANITARIOS PORTABLES LIMITADA</t>
  </si>
  <si>
    <t>Mntención</t>
  </si>
  <si>
    <t>BATTERY STREET S A .</t>
  </si>
  <si>
    <t>MANUFACTURAS EBLEN S A</t>
  </si>
  <si>
    <t>FASHION COMPANY S.A.</t>
  </si>
  <si>
    <t>INGRAM MICRO CHILE S A</t>
  </si>
  <si>
    <t>Climatización</t>
  </si>
  <si>
    <t>GDE S.A.</t>
  </si>
  <si>
    <t>Mantención febrero</t>
  </si>
  <si>
    <t>Mantención Linderos</t>
  </si>
  <si>
    <t>ESPINOLA Y COMPANIA LIMITADA</t>
  </si>
  <si>
    <t>Mantención cocina profunda</t>
  </si>
  <si>
    <t>Cambio capacitior Linderos</t>
  </si>
  <si>
    <t>Corporación Scuola Italiana Vittorio Montiglio</t>
  </si>
  <si>
    <t xml:space="preserve">Mantención </t>
  </si>
  <si>
    <t>INMOBILIARIA, INVERSIONES Y ASESORIAS KORI WASI LIMITADA</t>
  </si>
  <si>
    <t>VENTA AL POR MAYOR DE OTROS ENSERES DOME</t>
  </si>
  <si>
    <t>mantención Febrero/cambio válvula y desagüe</t>
  </si>
  <si>
    <t>Instalación Administración y Finanzas</t>
  </si>
  <si>
    <t>Instalación Gerencia</t>
  </si>
  <si>
    <t>Casino Lo Boza</t>
  </si>
  <si>
    <t>Cambio Bomba condensado Gerencia</t>
  </si>
  <si>
    <t>Nota de Crédito (Factura41)</t>
  </si>
  <si>
    <t>Nota de Crédito (Factura42)</t>
  </si>
  <si>
    <t>Nota de Crédito (Factura43)</t>
  </si>
  <si>
    <t>Nota de Crédito (Factura45)</t>
  </si>
  <si>
    <t>Mantención diciembre central</t>
  </si>
  <si>
    <t>Mantención servidor</t>
  </si>
  <si>
    <t>La Farfana</t>
  </si>
  <si>
    <t>Cambios/reparaciones</t>
  </si>
  <si>
    <t>Febrero 2016</t>
  </si>
  <si>
    <t>Agencia de Diseño y Marketing Gisele Marie</t>
  </si>
  <si>
    <t>Reparación Plaza Sur</t>
  </si>
  <si>
    <t>Hotelera del Alto SPA</t>
  </si>
  <si>
    <t>Mano de obra</t>
  </si>
  <si>
    <t>Mantención (casa)</t>
  </si>
  <si>
    <t>Instalación capacitación</t>
  </si>
  <si>
    <t>T J C CHILE S A</t>
  </si>
  <si>
    <t>Mantención Levis Marzo</t>
  </si>
  <si>
    <t>Mantención VH marzo</t>
  </si>
  <si>
    <t>Mantención Marzo Levis</t>
  </si>
  <si>
    <t>Mantención Dockers marzo</t>
  </si>
  <si>
    <t>GB INGENIERIA EN FIJACIONES S A</t>
  </si>
  <si>
    <t>Mantención Diciembre-Marzo</t>
  </si>
  <si>
    <t>Marzo 2016</t>
  </si>
  <si>
    <t>Mantención  enero, febrero marzo</t>
  </si>
  <si>
    <t>mantención marzo abril</t>
  </si>
  <si>
    <t>Mantención Abril</t>
  </si>
  <si>
    <t>Mantención abril</t>
  </si>
  <si>
    <t>mantención centrak 1-4/2016</t>
  </si>
  <si>
    <t>mantención serv. 1-4/2016</t>
  </si>
  <si>
    <t>mant. La farfana 1-4/2016</t>
  </si>
  <si>
    <t>Mantención  abril</t>
  </si>
  <si>
    <t xml:space="preserve">COMERCIAL Y SERVICIOS GARCIA BURR LTDA </t>
  </si>
  <si>
    <t>Mantención Diciembre-febrero</t>
  </si>
  <si>
    <t>marzo abril</t>
  </si>
  <si>
    <t>Paladio</t>
  </si>
  <si>
    <t xml:space="preserve">AUTOMOTRIZ PORTILLO S A </t>
  </si>
  <si>
    <t>mantención 2015</t>
  </si>
  <si>
    <t xml:space="preserve">AUTOMOTRIZ PORTEZUELO S A </t>
  </si>
  <si>
    <t>Abril 2016</t>
  </si>
  <si>
    <t>reparación Show Room</t>
  </si>
  <si>
    <t>Mantención mayo</t>
  </si>
  <si>
    <t>SINERGICA IMAGEN Y COMUNICACIONES LTDA</t>
  </si>
  <si>
    <t xml:space="preserve">Mantención Peñalolén </t>
  </si>
  <si>
    <t>Mantención Peñalolén</t>
  </si>
  <si>
    <t>96.660.820 - K</t>
  </si>
  <si>
    <t>mantención mayo Levis</t>
  </si>
  <si>
    <t xml:space="preserve"> 84.035.800 - 3 </t>
  </si>
  <si>
    <t>mantención mayo Dockres</t>
  </si>
  <si>
    <t xml:space="preserve"> 80.304.400 - 7 </t>
  </si>
  <si>
    <t>mantención mayo vH</t>
  </si>
  <si>
    <t xml:space="preserve"> 96.533.080 - 1</t>
  </si>
  <si>
    <t>msntención marzo Levis</t>
  </si>
  <si>
    <t>Mantención mayo central</t>
  </si>
  <si>
    <t>La farfana mayo</t>
  </si>
  <si>
    <t>mantención mayo of</t>
  </si>
  <si>
    <t>Espínola y compañía Limitada</t>
  </si>
  <si>
    <t>reparación vitrina</t>
  </si>
  <si>
    <t>MONTERO Y COMPANIA LIMITADA</t>
  </si>
  <si>
    <t>Mantención profunda y desmontado</t>
  </si>
  <si>
    <t>Linderos</t>
  </si>
  <si>
    <t>Mantención Paladio</t>
  </si>
  <si>
    <t>Mayo 2016</t>
  </si>
  <si>
    <t>traslado servidores</t>
  </si>
  <si>
    <t>Mantención Junio</t>
  </si>
  <si>
    <t>Mantención serv. junio</t>
  </si>
  <si>
    <t>Mantención of. junio</t>
  </si>
  <si>
    <t>Control R</t>
  </si>
  <si>
    <t>Mantención central Junio</t>
  </si>
  <si>
    <t>Servidores</t>
  </si>
  <si>
    <t>Ser. La Farfana</t>
  </si>
  <si>
    <t>Peñalolén abril</t>
  </si>
  <si>
    <t>Sucursales abril</t>
  </si>
  <si>
    <t>Peñalolén mayo</t>
  </si>
  <si>
    <t>Sucursales mayo</t>
  </si>
  <si>
    <t>Peñalolén junio</t>
  </si>
  <si>
    <t>Sucursales junio</t>
  </si>
  <si>
    <t>mantención enero febrero marzo</t>
  </si>
  <si>
    <t>Junio 2016</t>
  </si>
  <si>
    <t>Reparación</t>
  </si>
  <si>
    <t>traslado</t>
  </si>
  <si>
    <t>Mantención Julio</t>
  </si>
  <si>
    <t>mantención servidores</t>
  </si>
  <si>
    <t>mantención La Farfana</t>
  </si>
  <si>
    <t>mantención La Farfana serv</t>
  </si>
  <si>
    <t xml:space="preserve">ANDES MINING &amp; ENERGY CORPORATE S.P.A </t>
  </si>
  <si>
    <t>Julio 2016</t>
  </si>
  <si>
    <t>Mantención agosto</t>
  </si>
  <si>
    <t>Cambio de termostato</t>
  </si>
  <si>
    <t xml:space="preserve">: INMOBILIARIA, INVERSIONES Y ASESORIAS KORI WASI LIMITADA </t>
  </si>
  <si>
    <t>Mantención Agosto</t>
  </si>
  <si>
    <t>Mantención sertvidpores agosto</t>
  </si>
  <si>
    <t>Mantención La Farfana agosto</t>
  </si>
  <si>
    <t>Instalación Egresos</t>
  </si>
  <si>
    <t>mantención agosto</t>
  </si>
  <si>
    <t xml:space="preserve"> INMOBILIARIA ALMENDRA SPA </t>
  </si>
  <si>
    <t>Mantención y reparación</t>
  </si>
  <si>
    <t>COMERCIAL Y SERVICIOS BANDU LIMITAD</t>
  </si>
  <si>
    <t>CORPORACION SCUOLA ITALIANA VITTORIO MONTIGLIO</t>
  </si>
  <si>
    <t xml:space="preserve"> GB INGENIERIA EN FIJACIONES S A </t>
  </si>
  <si>
    <t xml:space="preserve"> INGRAM MICRO CHILE S A </t>
  </si>
  <si>
    <t>Mantención Paladio Julio</t>
  </si>
  <si>
    <t xml:space="preserve"> V. MACKENNA ORIENTE 7255 302</t>
  </si>
  <si>
    <t>mantención abril Dockres</t>
  </si>
  <si>
    <t>mantención abril Levis</t>
  </si>
  <si>
    <t>Compresor Ñuñoa</t>
  </si>
  <si>
    <t>Providencia</t>
  </si>
  <si>
    <t>Desmontaje e Instalación</t>
  </si>
  <si>
    <t>Comercial Duomo Limitada</t>
  </si>
  <si>
    <t>Agosto 2016</t>
  </si>
  <si>
    <t>reinstalación</t>
  </si>
  <si>
    <t>mantención septiembre</t>
  </si>
  <si>
    <t>Mantención septiembre</t>
  </si>
  <si>
    <t>mantención Linderos</t>
  </si>
  <si>
    <t xml:space="preserve">VISION CORP SERVICIOS DE MARKETING LIMITADA </t>
  </si>
  <si>
    <t>Mantención y equipos</t>
  </si>
  <si>
    <t>TREJO VILLARROEL Y COMPANIA LIMITADA</t>
  </si>
  <si>
    <t>mantención y reparación</t>
  </si>
  <si>
    <t>Mantención  julio agosto septiembre</t>
  </si>
  <si>
    <t>Manteción julio agosto septiembre serfidor</t>
  </si>
  <si>
    <t>80.304.400-7</t>
  </si>
  <si>
    <t>repatación Buenaventura</t>
  </si>
  <si>
    <t>Mantención Paladio 12, septiembre</t>
  </si>
  <si>
    <t>Septiembre 2016</t>
  </si>
  <si>
    <t>equipo</t>
  </si>
  <si>
    <t>mantención octubre</t>
  </si>
  <si>
    <t xml:space="preserve">77.948.010- 0 </t>
  </si>
  <si>
    <t>IMPORTADORA Y DISTRIBUIDORA TAUBER SP</t>
  </si>
  <si>
    <t>instalación</t>
  </si>
  <si>
    <t>CONFECCIONES MAGMA LTDA</t>
  </si>
  <si>
    <t>mantención 1/10</t>
  </si>
  <si>
    <t xml:space="preserve"> 96.533.080- 1</t>
  </si>
  <si>
    <t>Bicmedic</t>
  </si>
  <si>
    <t>Mantención Octubre</t>
  </si>
  <si>
    <t>Mantención octubre</t>
  </si>
  <si>
    <t xml:space="preserve">Anulada </t>
  </si>
  <si>
    <t xml:space="preserve">Uta </t>
  </si>
  <si>
    <t>Mantención  julio agosto octubre</t>
  </si>
  <si>
    <t>Manteción octubre servidor</t>
  </si>
  <si>
    <t>mantención linderos</t>
  </si>
  <si>
    <t>Octubre 2016</t>
  </si>
  <si>
    <t xml:space="preserve">reparación van heusen </t>
  </si>
  <si>
    <t>mantención octubre/noviembre</t>
  </si>
  <si>
    <t>reparaciones</t>
  </si>
  <si>
    <t xml:space="preserve">mantención agosto </t>
  </si>
  <si>
    <t>mantención Lampa</t>
  </si>
  <si>
    <t>NC9/222</t>
  </si>
  <si>
    <t>mantención peñalolén</t>
  </si>
  <si>
    <t>mantención noviembre</t>
  </si>
  <si>
    <t>227</t>
  </si>
  <si>
    <t>Mantención noviembre</t>
  </si>
  <si>
    <t>Manteción noviembre</t>
  </si>
  <si>
    <t>229-232</t>
  </si>
  <si>
    <t>Manteción noviembre servidor</t>
  </si>
  <si>
    <t>mantención septiembre octubre y noviembre</t>
  </si>
  <si>
    <t>mantención serv  septiembre octubre y noviembre</t>
  </si>
  <si>
    <t>mantención La Farfana septiembre octubre y noviembre</t>
  </si>
  <si>
    <t>Noviembre 2016</t>
  </si>
  <si>
    <t>79.953.050-3DRS</t>
  </si>
  <si>
    <t>mantenciónoctubre</t>
  </si>
  <si>
    <t>mantención sucursal octubre</t>
  </si>
  <si>
    <t>instalaciín tráfico</t>
  </si>
  <si>
    <t>mantención paladio</t>
  </si>
  <si>
    <t>mantención Lo Boza</t>
  </si>
  <si>
    <t>instalación tráfico</t>
  </si>
  <si>
    <t>mantención diciembre</t>
  </si>
  <si>
    <t>mantención diciembre Linderos</t>
  </si>
  <si>
    <t>Mantención diciembre</t>
  </si>
  <si>
    <t>277</t>
  </si>
  <si>
    <t>Manteción diciembre</t>
  </si>
  <si>
    <t>Manteción diciembre servidor</t>
  </si>
  <si>
    <t>mantención Central diciembre</t>
  </si>
  <si>
    <t>mantención Central Servidor diciembre</t>
  </si>
  <si>
    <t>mantención La Farfana diciembre</t>
  </si>
  <si>
    <t>mantención La Farfana servidor diciembre</t>
  </si>
  <si>
    <t>factura 285</t>
  </si>
  <si>
    <t>Diciembre 2016</t>
  </si>
  <si>
    <t>no hay</t>
  </si>
  <si>
    <t>Instalación especificadora</t>
  </si>
  <si>
    <t>instalación 3 equipos</t>
  </si>
  <si>
    <t>reparación valvula servidor</t>
  </si>
  <si>
    <t>INGENIERIA Y MECANICA DE PRECISION BOTOL Ltda</t>
  </si>
  <si>
    <t>Mantención enero</t>
  </si>
  <si>
    <t>mantención enero</t>
  </si>
  <si>
    <t>mantención enero Linderos</t>
  </si>
  <si>
    <t>297</t>
  </si>
  <si>
    <t>mantención paladio enero</t>
  </si>
  <si>
    <t>mantención Central enero</t>
  </si>
  <si>
    <t>mantención Central Serv.</t>
  </si>
  <si>
    <t>mantención La Farfana enero</t>
  </si>
  <si>
    <t>mantención Serv La Farfana enero</t>
  </si>
  <si>
    <t>Manteción enero</t>
  </si>
  <si>
    <t>Manteción enero servidor</t>
  </si>
  <si>
    <t xml:space="preserve">Festo S.A. </t>
  </si>
  <si>
    <t>Reparación e instalación</t>
  </si>
  <si>
    <t>Enero 2017</t>
  </si>
  <si>
    <t>mantención paladio febrero</t>
  </si>
  <si>
    <t>mantención febrero</t>
  </si>
  <si>
    <t>mantención adicional</t>
  </si>
  <si>
    <t>320</t>
  </si>
  <si>
    <t>Febrero 2017</t>
  </si>
  <si>
    <t>UF</t>
  </si>
  <si>
    <t>Mike</t>
  </si>
  <si>
    <t>Socios</t>
  </si>
  <si>
    <t>c/u</t>
  </si>
  <si>
    <t>Pagado</t>
  </si>
  <si>
    <t>Pendiente</t>
  </si>
  <si>
    <t>Convenios</t>
  </si>
  <si>
    <t>Extras</t>
  </si>
  <si>
    <t>Mant 3 AA</t>
  </si>
  <si>
    <t>BP Expert</t>
  </si>
  <si>
    <t>Rep Equipo Contactora</t>
  </si>
  <si>
    <t>GDExpress</t>
  </si>
  <si>
    <t>Frusan</t>
  </si>
  <si>
    <t>Sensores</t>
  </si>
  <si>
    <t>Mant 2AA</t>
  </si>
  <si>
    <t>Mant Enero Bomba Filtros</t>
  </si>
  <si>
    <t>Bomba condensados</t>
  </si>
  <si>
    <t>Cambio ubicación termostatos</t>
  </si>
  <si>
    <t>Mant feb a may</t>
  </si>
  <si>
    <t>Puesta en marcha servidor 2</t>
  </si>
  <si>
    <t>Rep Motor Recepción</t>
  </si>
  <si>
    <t>UTA Linderos</t>
  </si>
  <si>
    <t>Rep cocina (mant completa)</t>
  </si>
  <si>
    <t>Tauber</t>
  </si>
  <si>
    <t>Mantención x 3</t>
  </si>
  <si>
    <t>BP Service</t>
  </si>
  <si>
    <t>Rep Capacitor</t>
  </si>
  <si>
    <t>Convenio Junio Julio</t>
  </si>
  <si>
    <t>Convenio Julio</t>
  </si>
  <si>
    <t>Equipo portátil</t>
  </si>
  <si>
    <t>Mantenciones y reparaciones</t>
  </si>
  <si>
    <t>AFP Capital</t>
  </si>
  <si>
    <t>Instalación Valdivia</t>
  </si>
  <si>
    <t>Altmark</t>
  </si>
  <si>
    <t>Mant Profunda</t>
  </si>
  <si>
    <t>Capacitores Gerencia</t>
  </si>
  <si>
    <t>Mant Nov</t>
  </si>
  <si>
    <t>Mant Ago Sep Oct Nov</t>
  </si>
  <si>
    <t>ICB</t>
  </si>
  <si>
    <t>Instalación Curicó</t>
  </si>
  <si>
    <t>Mant Linderos Ago a Nov</t>
  </si>
  <si>
    <t>Convenio Jul a Nov</t>
  </si>
  <si>
    <t>Convenio Ago a Nov</t>
  </si>
  <si>
    <t>American Soho</t>
  </si>
  <si>
    <t>Rep Equipos Piso Cielo 1/4</t>
  </si>
  <si>
    <t>Ventas</t>
  </si>
  <si>
    <t>Macroclima</t>
  </si>
  <si>
    <t>Bomba Filtros</t>
  </si>
  <si>
    <t>Ernesto Bartel</t>
  </si>
  <si>
    <t>Macarena Moyano</t>
  </si>
  <si>
    <t>Rep Equipos Piso Cielo 2/4</t>
  </si>
  <si>
    <t>Antonio Politis</t>
  </si>
  <si>
    <t>inst 2x12000 inverter</t>
  </si>
  <si>
    <t>Hernán Amenábar</t>
  </si>
  <si>
    <t>Inst 12000 inverter</t>
  </si>
  <si>
    <t>Inst 12000 Continer</t>
  </si>
  <si>
    <t>Dra Carstens</t>
  </si>
  <si>
    <t>Mantención profunda</t>
  </si>
  <si>
    <t>Gastos</t>
  </si>
  <si>
    <t>Fafa</t>
  </si>
  <si>
    <t>Marcelo</t>
  </si>
  <si>
    <t>Sueldos</t>
  </si>
  <si>
    <t>Teléfono</t>
  </si>
  <si>
    <t>Bencina</t>
  </si>
  <si>
    <t>Tag</t>
  </si>
  <si>
    <t>Inversión</t>
  </si>
  <si>
    <t>Dobladora, manómetro, tanque</t>
  </si>
  <si>
    <t>Acepta</t>
  </si>
  <si>
    <t>Firma Electrónica</t>
  </si>
  <si>
    <t>Resumen Mensual Facturación</t>
  </si>
  <si>
    <t>Facturación Total</t>
  </si>
  <si>
    <t>Facturación Convenio</t>
  </si>
  <si>
    <t>Mes</t>
  </si>
  <si>
    <t>Facturas</t>
  </si>
  <si>
    <t>Fono y Materiales</t>
  </si>
  <si>
    <t>Autos-Tag-etc</t>
  </si>
  <si>
    <t>Utilidades</t>
  </si>
  <si>
    <t>febrero 2016</t>
  </si>
  <si>
    <t>marzo 2016</t>
  </si>
  <si>
    <t>abril 2016</t>
  </si>
  <si>
    <t>mayo 2016</t>
  </si>
  <si>
    <t>junio 2016</t>
  </si>
  <si>
    <t>julio 2016</t>
  </si>
  <si>
    <t>agosto 2016</t>
  </si>
  <si>
    <t>septiembre 2016</t>
  </si>
  <si>
    <t>octubre 2016</t>
  </si>
  <si>
    <t>noviembre 2016</t>
  </si>
  <si>
    <t>diciembre 2016</t>
  </si>
  <si>
    <t>enero 2017</t>
  </si>
  <si>
    <t>febrero 2017</t>
  </si>
  <si>
    <t>marzo 2017</t>
  </si>
  <si>
    <t>abril 2017</t>
  </si>
  <si>
    <t>mayo 2017</t>
  </si>
  <si>
    <t>junio 2017</t>
  </si>
  <si>
    <t>julio 2017</t>
  </si>
  <si>
    <t>agosto 2017</t>
  </si>
  <si>
    <t>septiembre 2017</t>
  </si>
  <si>
    <t>octubre 2017</t>
  </si>
  <si>
    <t>noviembre 2017</t>
  </si>
  <si>
    <t>diciembre 2017</t>
  </si>
  <si>
    <t>enero 2018</t>
  </si>
  <si>
    <t>febrero 2018</t>
  </si>
  <si>
    <t>marzo 2018</t>
  </si>
  <si>
    <t>abril 2018</t>
  </si>
  <si>
    <t>mayo 2018</t>
  </si>
  <si>
    <t>junio 2018</t>
  </si>
  <si>
    <t>julio 2018</t>
  </si>
  <si>
    <t>agosto 2018</t>
  </si>
  <si>
    <t>septiembre 2018</t>
  </si>
  <si>
    <t>octubre 2018</t>
  </si>
  <si>
    <t>noviembre 2018</t>
  </si>
  <si>
    <t>diciembre 2018</t>
  </si>
  <si>
    <t>Pepe</t>
  </si>
  <si>
    <t>Pato</t>
  </si>
  <si>
    <t>Jota</t>
  </si>
  <si>
    <t>Ivan</t>
  </si>
  <si>
    <t>Nico</t>
  </si>
  <si>
    <t>Isaac</t>
  </si>
  <si>
    <t>Felipe</t>
  </si>
  <si>
    <t>Miguel</t>
  </si>
  <si>
    <t>Antiman</t>
  </si>
  <si>
    <t>Rodrigo</t>
  </si>
  <si>
    <t>Alex</t>
  </si>
  <si>
    <t>Ignacio</t>
  </si>
  <si>
    <t>Luis</t>
  </si>
  <si>
    <t>Resumen Anual</t>
  </si>
  <si>
    <t>Año</t>
  </si>
  <si>
    <t>Mensual</t>
  </si>
  <si>
    <t>Crecimiento</t>
  </si>
  <si>
    <t>% del Total</t>
  </si>
  <si>
    <t>Costos</t>
  </si>
  <si>
    <t>Covenios Actuales</t>
  </si>
  <si>
    <t>Covenios Antiguos Alta Factibilidad</t>
  </si>
  <si>
    <t>Disal Santiago</t>
  </si>
  <si>
    <t>Disal Regiones</t>
  </si>
  <si>
    <t>TJC Tiendas</t>
  </si>
  <si>
    <t>Peluquería NE</t>
  </si>
  <si>
    <t>Duomo Kennedy</t>
  </si>
  <si>
    <t>Duomo Lampa</t>
  </si>
  <si>
    <t>Ditec</t>
  </si>
  <si>
    <t>Covenios Antiguos Baja Factibilidad</t>
  </si>
  <si>
    <t>Ingram Lo Boza</t>
  </si>
  <si>
    <t>Ingram Palladio</t>
  </si>
  <si>
    <t>Fuera de Covenio</t>
  </si>
  <si>
    <t>TJC Zañartu</t>
  </si>
  <si>
    <t>TJC Apoquindo 5N</t>
  </si>
  <si>
    <t>TJC Apoquindo 5S</t>
  </si>
  <si>
    <t>TJC Apoquindo 12N</t>
  </si>
  <si>
    <t>TJC Apoquindo 12S</t>
  </si>
  <si>
    <t>Hotel Quiral</t>
  </si>
  <si>
    <t>Facturación</t>
  </si>
  <si>
    <t>Según convenio</t>
  </si>
  <si>
    <t>Uta Linderos</t>
  </si>
  <si>
    <t>García Burr</t>
  </si>
  <si>
    <t>García Burr Servidores</t>
  </si>
  <si>
    <t>Peluquería</t>
  </si>
  <si>
    <t>Colgram Central</t>
  </si>
  <si>
    <t>Colgram Servidores Central</t>
  </si>
  <si>
    <t>Colgram Farfana y Cia</t>
  </si>
  <si>
    <t>Colgram Servidores Farfana</t>
  </si>
  <si>
    <t>Bimestral</t>
  </si>
  <si>
    <t>Trimestral</t>
  </si>
  <si>
    <t>10UF (1uf x equipo)</t>
  </si>
  <si>
    <t>Sinergica</t>
  </si>
  <si>
    <t>Cuatrimestral</t>
  </si>
  <si>
    <t>Según OC</t>
  </si>
  <si>
    <t>Cada vez</t>
  </si>
  <si>
    <t>Según OT</t>
  </si>
  <si>
    <t>Almendra (Pia)</t>
  </si>
  <si>
    <t>Trejo</t>
  </si>
  <si>
    <t>Vision</t>
  </si>
  <si>
    <t>Magma</t>
  </si>
</sst>
</file>

<file path=xl/styles.xml><?xml version="1.0" encoding="utf-8"?>
<styleSheet xmlns="http://schemas.openxmlformats.org/spreadsheetml/2006/main">
  <numFmts count="10">
    <numFmt numFmtId="0" formatCode="General"/>
    <numFmt numFmtId="59" formatCode="dd/mm/yyyy"/>
    <numFmt numFmtId="60" formatCode="&quot; &quot;&quot;$&quot;&quot; &quot;* #,##0&quot; &quot;;&quot;-&quot;&quot;$&quot;&quot; &quot;* #,##0&quot; &quot;;&quot; &quot;&quot;$&quot;&quot; &quot;* &quot;-&quot;??&quot; &quot;"/>
    <numFmt numFmtId="61" formatCode="_-&quot;$&quot;* #,##0_-;_-&quot;$&quot;* \(#,##0\)_-;_-&quot;$&quot;* &quot;-&quot;??;_-@_-"/>
    <numFmt numFmtId="62" formatCode="dd-mm-yy"/>
    <numFmt numFmtId="63" formatCode="&quot;$&quot;#,##0"/>
    <numFmt numFmtId="64" formatCode="mmmm"/>
    <numFmt numFmtId="65" formatCode="0.0%"/>
    <numFmt numFmtId="66" formatCode="#,##0%"/>
    <numFmt numFmtId="67" formatCode="#,##0.0%"/>
  </numFmts>
  <fonts count="17">
    <font>
      <sz val="11"/>
      <color indexed="8"/>
      <name val="Calibri"/>
    </font>
    <font>
      <sz val="12"/>
      <color indexed="8"/>
      <name val="Helvetica"/>
    </font>
    <font>
      <sz val="14"/>
      <color indexed="8"/>
      <name val="Calibri"/>
    </font>
    <font>
      <sz val="12"/>
      <color indexed="8"/>
      <name val="Helvetica Neue"/>
    </font>
    <font>
      <u val="single"/>
      <sz val="11"/>
      <color indexed="8"/>
      <name val="Calibri"/>
    </font>
    <font>
      <sz val="10"/>
      <color indexed="8"/>
      <name val="Calibri"/>
    </font>
    <font>
      <sz val="11"/>
      <color indexed="16"/>
      <name val="Helvetica Neue"/>
    </font>
    <font>
      <b val="1"/>
      <sz val="14"/>
      <color indexed="12"/>
      <name val="Calibri"/>
    </font>
    <font>
      <sz val="20"/>
      <color indexed="12"/>
      <name val="Calibri"/>
    </font>
    <font>
      <b val="1"/>
      <sz val="18"/>
      <color indexed="12"/>
      <name val="Calibri"/>
    </font>
    <font>
      <b val="1"/>
      <sz val="12"/>
      <color indexed="14"/>
      <name val="Calibri"/>
    </font>
    <font>
      <b val="1"/>
      <sz val="14"/>
      <color indexed="14"/>
      <name val="Calibri"/>
    </font>
    <font>
      <b val="1"/>
      <sz val="12"/>
      <color indexed="12"/>
      <name val="Calibri"/>
    </font>
    <font>
      <sz val="12"/>
      <color indexed="8"/>
      <name val="Calibri"/>
    </font>
    <font>
      <sz val="20"/>
      <color indexed="8"/>
      <name val="Calibri"/>
    </font>
    <font>
      <sz val="10"/>
      <color indexed="8"/>
      <name val="Helvetica"/>
    </font>
    <font>
      <b val="1"/>
      <sz val="10"/>
      <color indexed="8"/>
      <name val="Helvetica"/>
    </font>
  </fonts>
  <fills count="13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4"/>
        <bgColor auto="1"/>
      </patternFill>
    </fill>
  </fills>
  <borders count="10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thin">
        <color indexed="9"/>
      </bottom>
      <diagonal/>
    </border>
    <border>
      <left style="medium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medium">
        <color indexed="9"/>
      </bottom>
      <diagonal/>
    </border>
    <border>
      <left/>
      <right style="thin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thin">
        <color indexed="9"/>
      </left>
      <right style="thin">
        <color indexed="9"/>
      </right>
      <top style="medium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dotted">
        <color indexed="13"/>
      </right>
      <top/>
      <bottom style="thin">
        <color indexed="12"/>
      </bottom>
      <diagonal/>
    </border>
    <border>
      <left style="dotted">
        <color indexed="13"/>
      </left>
      <right style="dotted">
        <color indexed="13"/>
      </right>
      <top/>
      <bottom style="thin">
        <color indexed="12"/>
      </bottom>
      <diagonal/>
    </border>
    <border>
      <left style="dotted">
        <color indexed="13"/>
      </left>
      <right/>
      <top/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4"/>
      </bottom>
      <diagonal/>
    </border>
    <border>
      <left style="thin">
        <color indexed="12"/>
      </left>
      <right style="dotted">
        <color indexed="13"/>
      </right>
      <top style="thin">
        <color indexed="12"/>
      </top>
      <bottom style="thin">
        <color indexed="14"/>
      </bottom>
      <diagonal/>
    </border>
    <border>
      <left style="dotted">
        <color indexed="13"/>
      </left>
      <right style="dotted">
        <color indexed="13"/>
      </right>
      <top style="thin">
        <color indexed="12"/>
      </top>
      <bottom style="thin">
        <color indexed="14"/>
      </bottom>
      <diagonal/>
    </border>
    <border>
      <left style="dotted">
        <color indexed="13"/>
      </left>
      <right/>
      <top style="thin">
        <color indexed="12"/>
      </top>
      <bottom style="thin">
        <color indexed="14"/>
      </bottom>
      <diagonal/>
    </border>
    <border>
      <left/>
      <right style="thin">
        <color indexed="12"/>
      </right>
      <top style="thin">
        <color indexed="14"/>
      </top>
      <bottom style="thin">
        <color indexed="14"/>
      </bottom>
      <diagonal/>
    </border>
    <border>
      <left style="thin">
        <color indexed="12"/>
      </left>
      <right style="dotted">
        <color indexed="13"/>
      </right>
      <top style="thin">
        <color indexed="14"/>
      </top>
      <bottom style="thin">
        <color indexed="14"/>
      </bottom>
      <diagonal/>
    </border>
    <border>
      <left style="dotted">
        <color indexed="13"/>
      </left>
      <right style="dotted">
        <color indexed="13"/>
      </right>
      <top style="thin">
        <color indexed="14"/>
      </top>
      <bottom style="thin">
        <color indexed="14"/>
      </bottom>
      <diagonal/>
    </border>
    <border>
      <left style="dotted">
        <color indexed="13"/>
      </left>
      <right/>
      <top style="thin">
        <color indexed="14"/>
      </top>
      <bottom style="thin">
        <color indexed="14"/>
      </bottom>
      <diagonal/>
    </border>
    <border>
      <left/>
      <right style="thin">
        <color indexed="12"/>
      </right>
      <top style="thin">
        <color indexed="14"/>
      </top>
      <bottom style="thin">
        <color indexed="12"/>
      </bottom>
      <diagonal/>
    </border>
    <border>
      <left style="thin">
        <color indexed="12"/>
      </left>
      <right style="dotted">
        <color indexed="13"/>
      </right>
      <top style="thin">
        <color indexed="14"/>
      </top>
      <bottom style="thin">
        <color indexed="12"/>
      </bottom>
      <diagonal/>
    </border>
    <border>
      <left style="dotted">
        <color indexed="13"/>
      </left>
      <right style="dotted">
        <color indexed="13"/>
      </right>
      <top style="thin">
        <color indexed="14"/>
      </top>
      <bottom style="thin">
        <color indexed="12"/>
      </bottom>
      <diagonal/>
    </border>
    <border>
      <left style="dotted">
        <color indexed="13"/>
      </left>
      <right/>
      <top style="thin">
        <color indexed="14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3"/>
      </right>
      <top style="thin">
        <color indexed="12"/>
      </top>
      <bottom style="thin">
        <color indexed="12"/>
      </bottom>
      <diagonal/>
    </border>
    <border>
      <left style="dotted">
        <color indexed="13"/>
      </left>
      <right style="dotted">
        <color indexed="13"/>
      </right>
      <top style="thin">
        <color indexed="12"/>
      </top>
      <bottom style="thin">
        <color indexed="12"/>
      </bottom>
      <diagonal/>
    </border>
    <border>
      <left style="dotted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>
        <color indexed="8"/>
      </right>
      <top style="thin">
        <color indexed="12"/>
      </top>
      <bottom style="thin">
        <color indexed="12"/>
      </bottom>
      <diagonal/>
    </border>
    <border>
      <left>
        <color indexed="8"/>
      </left>
      <right>
        <color indexed="8"/>
      </right>
      <top style="thin">
        <color indexed="12"/>
      </top>
      <bottom style="thin">
        <color indexed="12"/>
      </bottom>
      <diagonal/>
    </border>
    <border>
      <left>
        <color indexed="8"/>
      </left>
      <right/>
      <top style="thin">
        <color indexed="12"/>
      </top>
      <bottom style="thin">
        <color indexed="12"/>
      </bottom>
      <diagonal/>
    </border>
    <border>
      <left style="dotted">
        <color indexed="13"/>
      </left>
      <right style="thin">
        <color indexed="12"/>
      </right>
      <top style="thin">
        <color indexed="14"/>
      </top>
      <bottom style="thin">
        <color indexed="12"/>
      </bottom>
      <diagonal/>
    </border>
    <border>
      <left/>
      <right>
        <color indexed="8"/>
      </right>
      <top style="thin">
        <color indexed="12"/>
      </top>
      <bottom style="thin">
        <color indexed="14"/>
      </bottom>
      <diagonal/>
    </border>
    <border>
      <left>
        <color indexed="8"/>
      </left>
      <right>
        <color indexed="8"/>
      </right>
      <top style="thin">
        <color indexed="12"/>
      </top>
      <bottom style="thin">
        <color indexed="14"/>
      </bottom>
      <diagonal/>
    </border>
    <border>
      <left>
        <color indexed="8"/>
      </left>
      <right/>
      <top style="thin">
        <color indexed="12"/>
      </top>
      <bottom style="thin">
        <color indexed="14"/>
      </bottom>
      <diagonal/>
    </border>
    <border>
      <left/>
      <right>
        <color indexed="8"/>
      </right>
      <top style="thin">
        <color indexed="14"/>
      </top>
      <bottom style="thin">
        <color indexed="12"/>
      </bottom>
      <diagonal/>
    </border>
    <border>
      <left>
        <color indexed="8"/>
      </left>
      <right>
        <color indexed="8"/>
      </right>
      <top style="thin">
        <color indexed="14"/>
      </top>
      <bottom style="thin">
        <color indexed="12"/>
      </bottom>
      <diagonal/>
    </border>
    <border>
      <left>
        <color indexed="8"/>
      </left>
      <right/>
      <top style="thin">
        <color indexed="14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dotted">
        <color indexed="13"/>
      </left>
      <right/>
      <top style="thin">
        <color indexed="12"/>
      </top>
      <bottom style="thin">
        <color indexed="12"/>
      </bottom>
      <diagonal/>
    </border>
    <border>
      <left/>
      <right style="dotted">
        <color indexed="13"/>
      </right>
      <top style="thin">
        <color indexed="14"/>
      </top>
      <bottom style="thin">
        <color indexed="14"/>
      </bottom>
      <diagonal/>
    </border>
    <border>
      <left/>
      <right style="dotted">
        <color indexed="13"/>
      </right>
      <top style="thin">
        <color indexed="14"/>
      </top>
      <bottom style="thin">
        <color indexed="12"/>
      </bottom>
      <diagonal/>
    </border>
    <border>
      <left/>
      <right style="dotted">
        <color indexed="13"/>
      </right>
      <top style="thin">
        <color indexed="12"/>
      </top>
      <bottom style="thin">
        <color indexed="14"/>
      </bottom>
      <diagonal/>
    </border>
    <border>
      <left>
        <color indexed="8"/>
      </left>
      <right style="dotted">
        <color indexed="14"/>
      </right>
      <top>
        <color indexed="8"/>
      </top>
      <bottom style="dotted">
        <color indexed="14"/>
      </bottom>
      <diagonal/>
    </border>
    <border>
      <left style="dotted">
        <color indexed="14"/>
      </left>
      <right style="dotted">
        <color indexed="14"/>
      </right>
      <top>
        <color indexed="8"/>
      </top>
      <bottom style="dotted">
        <color indexed="14"/>
      </bottom>
      <diagonal/>
    </border>
    <border>
      <left style="dotted">
        <color indexed="14"/>
      </left>
      <right>
        <color indexed="8"/>
      </right>
      <top>
        <color indexed="8"/>
      </top>
      <bottom style="dotted">
        <color indexed="14"/>
      </bottom>
      <diagonal/>
    </border>
    <border>
      <left>
        <color indexed="8"/>
      </left>
      <right style="dotted">
        <color indexed="14"/>
      </right>
      <top style="dotted">
        <color indexed="14"/>
      </top>
      <bottom style="dotted">
        <color indexed="12"/>
      </bottom>
      <diagonal/>
    </border>
    <border>
      <left style="dotted">
        <color indexed="14"/>
      </left>
      <right style="dotted">
        <color indexed="14"/>
      </right>
      <top style="dotted">
        <color indexed="14"/>
      </top>
      <bottom style="dotted">
        <color indexed="12"/>
      </bottom>
      <diagonal/>
    </border>
    <border>
      <left style="dotted">
        <color indexed="14"/>
      </left>
      <right>
        <color indexed="8"/>
      </right>
      <top style="dotted">
        <color indexed="14"/>
      </top>
      <bottom style="dotted">
        <color indexed="12"/>
      </bottom>
      <diagonal/>
    </border>
    <border>
      <left>
        <color indexed="8"/>
      </left>
      <right style="dotted">
        <color indexed="12"/>
      </right>
      <top style="dotted">
        <color indexed="12"/>
      </top>
      <bottom style="dotted">
        <color indexed="14"/>
      </bottom>
      <diagonal/>
    </border>
    <border>
      <left style="dotted">
        <color indexed="12"/>
      </left>
      <right style="dotted">
        <color indexed="12"/>
      </right>
      <top style="dotted">
        <color indexed="12"/>
      </top>
      <bottom style="dotted">
        <color indexed="12"/>
      </bottom>
      <diagonal/>
    </border>
    <border>
      <left style="dotted">
        <color indexed="12"/>
      </left>
      <right>
        <color indexed="8"/>
      </right>
      <top style="dotted">
        <color indexed="12"/>
      </top>
      <bottom style="dotted">
        <color indexed="12"/>
      </bottom>
      <diagonal/>
    </border>
    <border>
      <left>
        <color indexed="8"/>
      </left>
      <right style="dotted">
        <color indexed="12"/>
      </right>
      <top style="dotted">
        <color indexed="14"/>
      </top>
      <bottom style="dotted">
        <color indexed="14"/>
      </bottom>
      <diagonal/>
    </border>
    <border>
      <left>
        <color indexed="8"/>
      </left>
      <right style="dotted">
        <color indexed="12"/>
      </right>
      <top style="dotted">
        <color indexed="14"/>
      </top>
      <bottom style="dotted">
        <color indexed="12"/>
      </bottom>
      <diagonal/>
    </border>
    <border>
      <left>
        <color indexed="8"/>
      </left>
      <right style="dotted">
        <color indexed="14"/>
      </right>
      <top style="dotted">
        <color indexed="12"/>
      </top>
      <bottom style="dotted">
        <color indexed="12"/>
      </bottom>
      <diagonal/>
    </border>
    <border>
      <left style="dotted">
        <color indexed="14"/>
      </left>
      <right style="dotted">
        <color indexed="14"/>
      </right>
      <top style="dotted">
        <color indexed="12"/>
      </top>
      <bottom style="dotted">
        <color indexed="12"/>
      </bottom>
      <diagonal/>
    </border>
    <border>
      <left style="dotted">
        <color indexed="14"/>
      </left>
      <right>
        <color indexed="8"/>
      </right>
      <top style="dotted">
        <color indexed="12"/>
      </top>
      <bottom style="dotted">
        <color indexed="12"/>
      </bottom>
      <diagonal/>
    </border>
    <border>
      <left>
        <color indexed="8"/>
      </left>
      <right style="dotted">
        <color indexed="14"/>
      </right>
      <top style="dotted">
        <color indexed="12"/>
      </top>
      <bottom>
        <color indexed="8"/>
      </bottom>
      <diagonal/>
    </border>
    <border>
      <left style="dotted">
        <color indexed="14"/>
      </left>
      <right style="dotted">
        <color indexed="14"/>
      </right>
      <top style="dotted">
        <color indexed="12"/>
      </top>
      <bottom>
        <color indexed="8"/>
      </bottom>
      <diagonal/>
    </border>
    <border>
      <left style="dotted">
        <color indexed="14"/>
      </left>
      <right>
        <color indexed="8"/>
      </right>
      <top style="dotted">
        <color indexed="12"/>
      </top>
      <bottom>
        <color indexed="8"/>
      </bottom>
      <diagonal/>
    </border>
    <border>
      <left>
        <color indexed="8"/>
      </left>
      <right style="dotted">
        <color indexed="14"/>
      </right>
      <top>
        <color indexed="8"/>
      </top>
      <bottom>
        <color indexed="8"/>
      </bottom>
      <diagonal/>
    </border>
    <border>
      <left style="dotted">
        <color indexed="14"/>
      </left>
      <right style="dotted">
        <color indexed="14"/>
      </right>
      <top>
        <color indexed="8"/>
      </top>
      <bottom>
        <color indexed="8"/>
      </bottom>
      <diagonal/>
    </border>
    <border>
      <left style="dotted">
        <color indexed="14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 style="dotted">
        <color indexed="14"/>
      </right>
      <top>
        <color indexed="8"/>
      </top>
      <bottom style="dotted">
        <color indexed="12"/>
      </bottom>
      <diagonal/>
    </border>
    <border>
      <left style="dotted">
        <color indexed="14"/>
      </left>
      <right style="dotted">
        <color indexed="14"/>
      </right>
      <top>
        <color indexed="8"/>
      </top>
      <bottom style="dotted">
        <color indexed="12"/>
      </bottom>
      <diagonal/>
    </border>
    <border>
      <left style="dotted">
        <color indexed="14"/>
      </left>
      <right>
        <color indexed="8"/>
      </right>
      <top>
        <color indexed="8"/>
      </top>
      <bottom style="dotted">
        <color indexed="12"/>
      </bottom>
      <diagonal/>
    </border>
    <border>
      <left>
        <color indexed="8"/>
      </left>
      <right style="dotted">
        <color indexed="12"/>
      </right>
      <top style="dotted">
        <color indexed="12"/>
      </top>
      <bottom style="dotted">
        <color indexed="12"/>
      </bottom>
      <diagonal/>
    </border>
    <border>
      <left style="thin">
        <color indexed="10"/>
      </left>
      <right>
        <color indexed="8"/>
      </right>
      <top style="thin">
        <color indexed="10"/>
      </top>
      <bottom style="thin">
        <color indexed="10"/>
      </bottom>
      <diagonal/>
    </border>
    <border>
      <left>
        <color indexed="8"/>
      </left>
      <right>
        <color indexed="8"/>
      </right>
      <top>
        <color indexed="8"/>
      </top>
      <bottom style="medium">
        <color indexed="12"/>
      </bottom>
      <diagonal/>
    </border>
    <border>
      <left>
        <color indexed="8"/>
      </left>
      <right>
        <color indexed="8"/>
      </right>
      <top style="medium">
        <color indexed="12"/>
      </top>
      <bottom>
        <color indexed="8"/>
      </bottom>
      <diagonal/>
    </border>
    <border>
      <left>
        <color indexed="8"/>
      </left>
      <right style="dotted">
        <color indexed="14"/>
      </right>
      <top style="medium">
        <color indexed="12"/>
      </top>
      <bottom>
        <color indexed="8"/>
      </bottom>
      <diagonal/>
    </border>
    <border>
      <left style="dotted">
        <color indexed="14"/>
      </left>
      <right style="dotted">
        <color indexed="14"/>
      </right>
      <top style="medium">
        <color indexed="12"/>
      </top>
      <bottom>
        <color indexed="8"/>
      </bottom>
      <diagonal/>
    </border>
    <border>
      <left style="dotted">
        <color indexed="14"/>
      </left>
      <right style="medium">
        <color indexed="12"/>
      </right>
      <top style="medium">
        <color indexed="12"/>
      </top>
      <bottom>
        <color indexed="8"/>
      </bottom>
      <diagonal/>
    </border>
    <border>
      <left style="medium">
        <color indexed="12"/>
      </left>
      <right style="dotted">
        <color indexed="14"/>
      </right>
      <top style="medium">
        <color indexed="12"/>
      </top>
      <bottom>
        <color indexed="8"/>
      </bottom>
      <diagonal/>
    </border>
    <border>
      <left style="dotted">
        <color indexed="14"/>
      </left>
      <right>
        <color indexed="8"/>
      </right>
      <top style="medium">
        <color indexed="12"/>
      </top>
      <bottom>
        <color indexed="8"/>
      </bottom>
      <diagonal/>
    </border>
    <border>
      <left style="dotted">
        <color indexed="14"/>
      </left>
      <right style="medium">
        <color indexed="12"/>
      </right>
      <top>
        <color indexed="8"/>
      </top>
      <bottom>
        <color indexed="8"/>
      </bottom>
      <diagonal/>
    </border>
    <border>
      <left style="medium">
        <color indexed="12"/>
      </left>
      <right style="dotted">
        <color indexed="14"/>
      </right>
      <top>
        <color indexed="8"/>
      </top>
      <bottom>
        <color indexed="8"/>
      </bottom>
      <diagonal/>
    </border>
    <border>
      <left>
        <color indexed="8"/>
      </left>
      <right style="dotted">
        <color indexed="12"/>
      </right>
      <top>
        <color indexed="8"/>
      </top>
      <bottom style="dotted">
        <color indexed="12"/>
      </bottom>
      <diagonal/>
    </border>
    <border>
      <left style="dotted">
        <color indexed="12"/>
      </left>
      <right style="dotted">
        <color indexed="12"/>
      </right>
      <top>
        <color indexed="8"/>
      </top>
      <bottom style="dotted">
        <color indexed="12"/>
      </bottom>
      <diagonal/>
    </border>
    <border>
      <left style="dotted">
        <color indexed="12"/>
      </left>
      <right style="medium">
        <color indexed="12"/>
      </right>
      <top>
        <color indexed="8"/>
      </top>
      <bottom style="dotted">
        <color indexed="12"/>
      </bottom>
      <diagonal/>
    </border>
    <border>
      <left style="medium">
        <color indexed="12"/>
      </left>
      <right style="dotted">
        <color indexed="12"/>
      </right>
      <top>
        <color indexed="8"/>
      </top>
      <bottom style="dotted">
        <color indexed="12"/>
      </bottom>
      <diagonal/>
    </border>
    <border>
      <left style="dotted">
        <color indexed="12"/>
      </left>
      <right>
        <color indexed="8"/>
      </right>
      <top>
        <color indexed="8"/>
      </top>
      <bottom style="dotted">
        <color indexed="12"/>
      </bottom>
      <diagonal/>
    </border>
    <border>
      <left style="dotted">
        <color indexed="12"/>
      </left>
      <right style="medium">
        <color indexed="12"/>
      </right>
      <top style="dotted">
        <color indexed="12"/>
      </top>
      <bottom style="dotted">
        <color indexed="12"/>
      </bottom>
      <diagonal/>
    </border>
    <border>
      <left style="medium">
        <color indexed="12"/>
      </left>
      <right style="dotted">
        <color indexed="12"/>
      </right>
      <top style="dotted">
        <color indexed="12"/>
      </top>
      <bottom style="dotted">
        <color indexed="12"/>
      </bottom>
      <diagonal/>
    </border>
    <border>
      <left>
        <color indexed="8"/>
      </left>
      <right style="dotted">
        <color indexed="12"/>
      </right>
      <top style="dotted">
        <color indexed="12"/>
      </top>
      <bottom>
        <color indexed="8"/>
      </bottom>
      <diagonal/>
    </border>
    <border>
      <left style="dotted">
        <color indexed="12"/>
      </left>
      <right style="dotted">
        <color indexed="12"/>
      </right>
      <top style="dotted">
        <color indexed="12"/>
      </top>
      <bottom>
        <color indexed="8"/>
      </bottom>
      <diagonal/>
    </border>
    <border>
      <left style="dotted">
        <color indexed="12"/>
      </left>
      <right style="medium">
        <color indexed="12"/>
      </right>
      <top style="dotted">
        <color indexed="12"/>
      </top>
      <bottom>
        <color indexed="8"/>
      </bottom>
      <diagonal/>
    </border>
    <border>
      <left style="medium">
        <color indexed="12"/>
      </left>
      <right style="dotted">
        <color indexed="12"/>
      </right>
      <top style="dotted">
        <color indexed="12"/>
      </top>
      <bottom>
        <color indexed="8"/>
      </bottom>
      <diagonal/>
    </border>
    <border>
      <left style="dotted">
        <color indexed="12"/>
      </left>
      <right>
        <color indexed="8"/>
      </right>
      <top style="dotted">
        <color indexed="12"/>
      </top>
      <bottom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23"/>
      </bottom>
      <diagonal/>
    </border>
    <border>
      <left style="thin">
        <color indexed="10"/>
      </left>
      <right style="thin">
        <color indexed="23"/>
      </right>
      <top style="thin">
        <color indexed="23"/>
      </top>
      <bottom style="thin">
        <color indexed="10"/>
      </bottom>
      <diagonal/>
    </border>
    <border>
      <left style="thin">
        <color indexed="23"/>
      </left>
      <right style="thin">
        <color indexed="10"/>
      </right>
      <top style="thin">
        <color indexed="23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23"/>
      </top>
      <bottom style="thin">
        <color indexed="10"/>
      </bottom>
      <diagonal/>
    </border>
    <border>
      <left style="thin">
        <color indexed="10"/>
      </left>
      <right style="thin">
        <color indexed="23"/>
      </right>
      <top style="thin">
        <color indexed="10"/>
      </top>
      <bottom style="thin">
        <color indexed="10"/>
      </bottom>
      <diagonal/>
    </border>
    <border>
      <left style="thin">
        <color indexed="23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dotted">
        <color indexed="13"/>
      </right>
      <top/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6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2" applyNumberFormat="0" applyFont="1" applyFill="0" applyBorder="0" applyAlignment="1" applyProtection="0">
      <alignment horizontal="center" vertical="center"/>
    </xf>
    <xf numFmtId="49" fontId="0" borderId="1" applyNumberFormat="1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59" fontId="0" borderId="1" applyNumberFormat="1" applyFont="1" applyFill="0" applyBorder="1" applyAlignment="1" applyProtection="0">
      <alignment vertical="bottom"/>
    </xf>
    <xf numFmtId="60" fontId="0" borderId="1" applyNumberFormat="1" applyFont="1" applyFill="0" applyBorder="1" applyAlignment="1" applyProtection="0">
      <alignment vertical="bottom"/>
    </xf>
    <xf numFmtId="61" fontId="0" borderId="1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2" applyNumberFormat="1" applyFont="1" applyFill="0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60" fontId="0" borderId="2" applyNumberFormat="1" applyFont="1" applyFill="0" applyBorder="1" applyAlignment="1" applyProtection="0">
      <alignment vertical="bottom"/>
    </xf>
    <xf numFmtId="61" fontId="0" borderId="2" applyNumberFormat="1" applyFont="1" applyFill="0" applyBorder="1" applyAlignment="1" applyProtection="0">
      <alignment vertical="bottom"/>
    </xf>
    <xf numFmtId="0" fontId="0" borderId="3" applyNumberFormat="1" applyFont="1" applyFill="0" applyBorder="1" applyAlignment="1" applyProtection="0">
      <alignment vertical="bottom"/>
    </xf>
    <xf numFmtId="49" fontId="0" borderId="4" applyNumberFormat="1" applyFont="1" applyFill="0" applyBorder="1" applyAlignment="1" applyProtection="0">
      <alignment vertical="bottom"/>
    </xf>
    <xf numFmtId="60" fontId="0" borderId="4" applyNumberFormat="1" applyFont="1" applyFill="0" applyBorder="1" applyAlignment="1" applyProtection="0">
      <alignment vertical="bottom"/>
    </xf>
    <xf numFmtId="60" fontId="0" borderId="5" applyNumberFormat="1" applyFont="1" applyFill="0" applyBorder="1" applyAlignment="1" applyProtection="0">
      <alignment vertical="bottom"/>
    </xf>
    <xf numFmtId="61" fontId="0" borderId="6" applyNumberFormat="1" applyFont="1" applyFill="0" applyBorder="1" applyAlignment="1" applyProtection="0">
      <alignment vertical="bottom"/>
    </xf>
    <xf numFmtId="0" fontId="0" borderId="6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0" borderId="7" applyNumberFormat="1" applyFont="1" applyFill="0" applyBorder="1" applyAlignment="1" applyProtection="0">
      <alignment vertical="bottom"/>
    </xf>
    <xf numFmtId="61" fontId="0" borderId="7" applyNumberFormat="1" applyFont="1" applyFill="0" applyBorder="1" applyAlignment="1" applyProtection="0">
      <alignment vertical="bottom"/>
    </xf>
    <xf numFmtId="0" fontId="0" borderId="5" applyNumberFormat="1" applyFont="1" applyFill="0" applyBorder="1" applyAlignment="1" applyProtection="0">
      <alignment vertical="bottom"/>
    </xf>
    <xf numFmtId="60" fontId="0" borderId="7" applyNumberFormat="1" applyFont="1" applyFill="0" applyBorder="1" applyAlignment="1" applyProtection="0">
      <alignment vertical="bottom"/>
    </xf>
    <xf numFmtId="60" fontId="0" borderId="1" applyNumberFormat="1" applyFont="1" applyFill="0" applyBorder="1" applyAlignment="1" applyProtection="0">
      <alignment horizontal="left" vertical="bottom"/>
    </xf>
    <xf numFmtId="60" fontId="0" borderId="2" applyNumberFormat="1" applyFont="1" applyFill="0" applyBorder="1" applyAlignment="1" applyProtection="0">
      <alignment horizontal="left" vertical="bottom"/>
    </xf>
    <xf numFmtId="0" fontId="0" borderId="2" applyNumberFormat="0" applyFont="1" applyFill="0" applyBorder="1" applyAlignment="1" applyProtection="0">
      <alignment vertical="bottom"/>
    </xf>
    <xf numFmtId="0" fontId="0" borderId="2" applyNumberFormat="1" applyFont="1" applyFill="0" applyBorder="1" applyAlignment="1" applyProtection="0">
      <alignment horizontal="left" vertical="bottom"/>
    </xf>
    <xf numFmtId="0" fontId="0" borderId="3" applyNumberFormat="0" applyFont="1" applyFill="0" applyBorder="1" applyAlignment="1" applyProtection="0">
      <alignment vertical="bottom"/>
    </xf>
    <xf numFmtId="61" fontId="0" borderId="8" applyNumberFormat="1" applyFont="1" applyFill="0" applyBorder="1" applyAlignment="1" applyProtection="0">
      <alignment vertical="bottom"/>
    </xf>
    <xf numFmtId="0" fontId="0" borderId="7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9" applyNumberFormat="0" applyFont="1" applyFill="0" applyBorder="1" applyAlignment="1" applyProtection="0">
      <alignment vertical="bottom"/>
    </xf>
    <xf numFmtId="49" fontId="0" borderId="9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0" applyNumberFormat="1" applyFont="1" applyFill="0" applyBorder="1" applyAlignment="1" applyProtection="0">
      <alignment vertical="bottom"/>
    </xf>
    <xf numFmtId="0" fontId="0" borderId="11" applyNumberFormat="1" applyFont="1" applyFill="0" applyBorder="1" applyAlignment="1" applyProtection="0">
      <alignment vertical="bottom"/>
    </xf>
    <xf numFmtId="62" fontId="0" borderId="11" applyNumberFormat="1" applyFont="1" applyFill="0" applyBorder="1" applyAlignment="1" applyProtection="0">
      <alignment vertical="bottom"/>
    </xf>
    <xf numFmtId="49" fontId="0" borderId="11" applyNumberFormat="1" applyFont="1" applyFill="0" applyBorder="1" applyAlignment="1" applyProtection="0">
      <alignment vertical="bottom"/>
    </xf>
    <xf numFmtId="61" fontId="0" borderId="11" applyNumberFormat="1" applyFont="1" applyFill="0" applyBorder="1" applyAlignment="1" applyProtection="0">
      <alignment vertical="bottom"/>
    </xf>
    <xf numFmtId="61" fontId="0" borderId="12" applyNumberFormat="1" applyFont="1" applyFill="0" applyBorder="1" applyAlignment="1" applyProtection="0">
      <alignment vertical="bottom"/>
    </xf>
    <xf numFmtId="0" fontId="0" borderId="11" applyNumberFormat="0" applyFont="1" applyFill="0" applyBorder="1" applyAlignment="1" applyProtection="0">
      <alignment vertical="bottom"/>
    </xf>
    <xf numFmtId="61" fontId="0" borderId="13" applyNumberFormat="1" applyFont="1" applyFill="0" applyBorder="1" applyAlignment="1" applyProtection="0">
      <alignment vertical="bottom"/>
    </xf>
    <xf numFmtId="61" fontId="0" borderId="14" applyNumberFormat="1" applyFont="1" applyFill="0" applyBorder="1" applyAlignment="1" applyProtection="0">
      <alignment vertical="bottom"/>
    </xf>
    <xf numFmtId="61" fontId="0" borderId="5" applyNumberFormat="1" applyFont="1" applyFill="0" applyBorder="1" applyAlignment="1" applyProtection="0">
      <alignment vertical="bottom"/>
    </xf>
    <xf numFmtId="0" fontId="0" borderId="15" applyNumberFormat="1" applyFont="1" applyFill="0" applyBorder="1" applyAlignment="1" applyProtection="0">
      <alignment vertical="bottom"/>
    </xf>
    <xf numFmtId="62" fontId="0" borderId="15" applyNumberFormat="1" applyFont="1" applyFill="0" applyBorder="1" applyAlignment="1" applyProtection="0">
      <alignment vertical="bottom"/>
    </xf>
    <xf numFmtId="49" fontId="0" borderId="15" applyNumberFormat="1" applyFont="1" applyFill="0" applyBorder="1" applyAlignment="1" applyProtection="0">
      <alignment vertical="bottom"/>
    </xf>
    <xf numFmtId="61" fontId="0" borderId="15" applyNumberFormat="1" applyFont="1" applyFill="0" applyBorder="1" applyAlignment="1" applyProtection="0">
      <alignment vertical="bottom"/>
    </xf>
    <xf numFmtId="49" fontId="0" borderId="3" applyNumberFormat="1" applyFont="1" applyFill="0" applyBorder="1" applyAlignment="1" applyProtection="0">
      <alignment vertical="bottom"/>
    </xf>
    <xf numFmtId="61" fontId="0" borderId="4" applyNumberFormat="1" applyFont="1" applyFill="0" applyBorder="1" applyAlignment="1" applyProtection="0">
      <alignment vertical="bottom"/>
    </xf>
    <xf numFmtId="0" fontId="0" borderId="16" applyNumberFormat="0" applyFont="1" applyFill="0" applyBorder="1" applyAlignment="1" applyProtection="0">
      <alignment vertical="bottom"/>
    </xf>
    <xf numFmtId="62" fontId="0" borderId="16" applyNumberFormat="1" applyFont="1" applyFill="0" applyBorder="1" applyAlignment="1" applyProtection="0">
      <alignment vertical="bottom"/>
    </xf>
    <xf numFmtId="61" fontId="0" borderId="16" applyNumberFormat="1" applyFont="1" applyFill="0" applyBorder="1" applyAlignment="1" applyProtection="0">
      <alignment vertical="bottom"/>
    </xf>
    <xf numFmtId="3" fontId="0" borderId="11" applyNumberFormat="1" applyFont="1" applyFill="0" applyBorder="1" applyAlignment="1" applyProtection="0">
      <alignment vertical="bottom"/>
    </xf>
    <xf numFmtId="0" fontId="4" borderId="11" applyNumberFormat="1" applyFont="1" applyFill="0" applyBorder="1" applyAlignment="1" applyProtection="0">
      <alignment vertical="bottom"/>
    </xf>
    <xf numFmtId="49" fontId="4" borderId="11" applyNumberFormat="1" applyFont="1" applyFill="0" applyBorder="1" applyAlignment="1" applyProtection="0">
      <alignment vertical="bottom"/>
    </xf>
    <xf numFmtId="61" fontId="4" borderId="11" applyNumberFormat="1" applyFont="1" applyFill="0" applyBorder="1" applyAlignment="1" applyProtection="0">
      <alignment vertical="bottom"/>
    </xf>
    <xf numFmtId="61" fontId="0" borderId="11" applyNumberFormat="1" applyFont="1" applyFill="0" applyBorder="1" applyAlignment="1" applyProtection="0">
      <alignment vertical="top" wrapText="1"/>
    </xf>
    <xf numFmtId="0" fontId="0" borderId="11" applyNumberFormat="1" applyFont="1" applyFill="0" applyBorder="1" applyAlignment="1" applyProtection="0">
      <alignment horizontal="right" vertical="top" wrapText="1"/>
    </xf>
    <xf numFmtId="49" fontId="0" borderId="11" applyNumberFormat="1" applyFont="1" applyFill="0" applyBorder="1" applyAlignment="1" applyProtection="0">
      <alignment horizontal="right" vertical="bottom"/>
    </xf>
    <xf numFmtId="49" fontId="0" borderId="11" applyNumberFormat="1" applyFont="1" applyFill="0" applyBorder="1" applyAlignment="1" applyProtection="0">
      <alignment horizontal="right" vertical="top" wrapText="1"/>
    </xf>
    <xf numFmtId="61" fontId="0" borderId="15" applyNumberFormat="1" applyFont="1" applyFill="0" applyBorder="1" applyAlignment="1" applyProtection="0">
      <alignment vertical="top" wrapText="1"/>
    </xf>
    <xf numFmtId="14" fontId="0" borderId="16" applyNumberFormat="1" applyFont="1" applyFill="0" applyBorder="1" applyAlignment="1" applyProtection="0">
      <alignment vertical="bottom"/>
    </xf>
    <xf numFmtId="61" fontId="0" borderId="16" applyNumberFormat="1" applyFont="1" applyFill="0" applyBorder="1" applyAlignment="1" applyProtection="0">
      <alignment vertical="top" wrapText="1"/>
    </xf>
    <xf numFmtId="14" fontId="0" borderId="11" applyNumberFormat="1" applyFont="1" applyFill="0" applyBorder="1" applyAlignment="1" applyProtection="0">
      <alignment vertical="bottom"/>
    </xf>
    <xf numFmtId="61" fontId="4" borderId="11" applyNumberFormat="1" applyFont="1" applyFill="0" applyBorder="1" applyAlignment="1" applyProtection="0">
      <alignment vertical="top" wrapText="1"/>
    </xf>
    <xf numFmtId="0" fontId="0" borderId="15" applyNumberFormat="1" applyFont="1" applyFill="0" applyBorder="1" applyAlignment="1" applyProtection="0">
      <alignment horizontal="right" vertical="top" wrapText="1"/>
    </xf>
    <xf numFmtId="0" fontId="0" borderId="17" applyNumberFormat="0" applyFont="1" applyFill="0" applyBorder="1" applyAlignment="1" applyProtection="0">
      <alignment vertical="bottom"/>
    </xf>
    <xf numFmtId="62" fontId="0" borderId="17" applyNumberFormat="1" applyFont="1" applyFill="0" applyBorder="1" applyAlignment="1" applyProtection="0">
      <alignment vertical="bottom"/>
    </xf>
    <xf numFmtId="61" fontId="0" borderId="17" applyNumberFormat="1" applyFont="1" applyFill="0" applyBorder="1" applyAlignment="1" applyProtection="0">
      <alignment vertical="bottom"/>
    </xf>
    <xf numFmtId="0" fontId="0" borderId="18" applyNumberFormat="0" applyFont="1" applyFill="0" applyBorder="1" applyAlignment="1" applyProtection="0">
      <alignment vertical="bottom"/>
    </xf>
    <xf numFmtId="62" fontId="0" borderId="18" applyNumberFormat="1" applyFont="1" applyFill="0" applyBorder="1" applyAlignment="1" applyProtection="0">
      <alignment vertical="bottom"/>
    </xf>
    <xf numFmtId="61" fontId="0" borderId="18" applyNumberFormat="1" applyFont="1" applyFill="0" applyBorder="1" applyAlignment="1" applyProtection="0">
      <alignment vertical="bottom"/>
    </xf>
    <xf numFmtId="0" fontId="5" applyNumberFormat="1" applyFont="1" applyFill="0" applyBorder="0" applyAlignment="1" applyProtection="0">
      <alignment vertical="top" wrapText="1"/>
    </xf>
    <xf numFmtId="49" fontId="5" fillId="2" borderId="19" applyNumberFormat="1" applyFont="1" applyFill="1" applyBorder="1" applyAlignment="1" applyProtection="0">
      <alignment horizontal="center" vertical="top" wrapText="1"/>
    </xf>
    <xf numFmtId="49" fontId="5" fillId="2" borderId="20" applyNumberFormat="1" applyFont="1" applyFill="1" applyBorder="1" applyAlignment="1" applyProtection="0">
      <alignment horizontal="center" vertical="top" wrapText="1"/>
    </xf>
    <xf numFmtId="49" fontId="5" fillId="2" borderId="21" applyNumberFormat="1" applyFont="1" applyFill="1" applyBorder="1" applyAlignment="1" applyProtection="0">
      <alignment horizontal="center" vertical="top" wrapText="1"/>
    </xf>
    <xf numFmtId="0" fontId="5" fillId="2" borderId="21" applyNumberFormat="0" applyFont="1" applyFill="1" applyBorder="1" applyAlignment="1" applyProtection="0">
      <alignment vertical="top" wrapText="1"/>
    </xf>
    <xf numFmtId="49" fontId="5" fillId="2" borderId="22" applyNumberFormat="1" applyFont="1" applyFill="1" applyBorder="1" applyAlignment="1" applyProtection="0">
      <alignment horizontal="center" vertical="top" wrapText="1"/>
    </xf>
    <xf numFmtId="0" fontId="5" fillId="2" borderId="23" applyNumberFormat="1" applyFont="1" applyFill="1" applyBorder="1" applyAlignment="1" applyProtection="0">
      <alignment vertical="top" wrapText="1"/>
    </xf>
    <xf numFmtId="59" fontId="5" fillId="3" borderId="24" applyNumberFormat="1" applyFont="1" applyFill="1" applyBorder="1" applyAlignment="1" applyProtection="0">
      <alignment vertical="top" wrapText="1"/>
    </xf>
    <xf numFmtId="49" fontId="5" fillId="3" borderId="25" applyNumberFormat="1" applyFont="1" applyFill="1" applyBorder="1" applyAlignment="1" applyProtection="0">
      <alignment vertical="top" wrapText="1"/>
    </xf>
    <xf numFmtId="0" fontId="6" fillId="3" borderId="25" applyNumberFormat="1" applyFont="1" applyFill="1" applyBorder="1" applyAlignment="1" applyProtection="0">
      <alignment vertical="top" wrapText="1"/>
    </xf>
    <xf numFmtId="4" fontId="5" fillId="3" borderId="25" applyNumberFormat="1" applyFont="1" applyFill="1" applyBorder="1" applyAlignment="1" applyProtection="0">
      <alignment vertical="top" wrapText="1"/>
    </xf>
    <xf numFmtId="63" fontId="5" fillId="3" borderId="25" applyNumberFormat="1" applyFont="1" applyFill="1" applyBorder="1" applyAlignment="1" applyProtection="0">
      <alignment vertical="top" wrapText="1"/>
    </xf>
    <xf numFmtId="0" fontId="5" fillId="3" borderId="25" applyNumberFormat="1" applyFont="1" applyFill="1" applyBorder="1" applyAlignment="1" applyProtection="0">
      <alignment vertical="top" wrapText="1"/>
    </xf>
    <xf numFmtId="63" fontId="5" fillId="3" borderId="26" applyNumberFormat="1" applyFont="1" applyFill="1" applyBorder="1" applyAlignment="1" applyProtection="0">
      <alignment vertical="top" wrapText="1"/>
    </xf>
    <xf numFmtId="0" fontId="5" fillId="2" borderId="27" applyNumberFormat="1" applyFont="1" applyFill="1" applyBorder="1" applyAlignment="1" applyProtection="0">
      <alignment vertical="top" wrapText="1"/>
    </xf>
    <xf numFmtId="59" fontId="5" fillId="4" borderId="28" applyNumberFormat="1" applyFont="1" applyFill="1" applyBorder="1" applyAlignment="1" applyProtection="0">
      <alignment vertical="top" wrapText="1"/>
    </xf>
    <xf numFmtId="49" fontId="5" fillId="4" borderId="29" applyNumberFormat="1" applyFont="1" applyFill="1" applyBorder="1" applyAlignment="1" applyProtection="0">
      <alignment vertical="top" wrapText="1"/>
    </xf>
    <xf numFmtId="0" fontId="6" fillId="4" borderId="29" applyNumberFormat="1" applyFont="1" applyFill="1" applyBorder="1" applyAlignment="1" applyProtection="0">
      <alignment vertical="top" wrapText="1"/>
    </xf>
    <xf numFmtId="4" fontId="5" fillId="4" borderId="29" applyNumberFormat="1" applyFont="1" applyFill="1" applyBorder="1" applyAlignment="1" applyProtection="0">
      <alignment vertical="top" wrapText="1"/>
    </xf>
    <xf numFmtId="63" fontId="5" fillId="4" borderId="29" applyNumberFormat="1" applyFont="1" applyFill="1" applyBorder="1" applyAlignment="1" applyProtection="0">
      <alignment vertical="top" wrapText="1"/>
    </xf>
    <xf numFmtId="0" fontId="5" fillId="4" borderId="29" applyNumberFormat="1" applyFont="1" applyFill="1" applyBorder="1" applyAlignment="1" applyProtection="0">
      <alignment vertical="top" wrapText="1"/>
    </xf>
    <xf numFmtId="63" fontId="5" fillId="4" borderId="30" applyNumberFormat="1" applyFont="1" applyFill="1" applyBorder="1" applyAlignment="1" applyProtection="0">
      <alignment vertical="top" wrapText="1"/>
    </xf>
    <xf numFmtId="59" fontId="5" fillId="3" borderId="28" applyNumberFormat="1" applyFont="1" applyFill="1" applyBorder="1" applyAlignment="1" applyProtection="0">
      <alignment vertical="top" wrapText="1"/>
    </xf>
    <xf numFmtId="49" fontId="5" fillId="3" borderId="29" applyNumberFormat="1" applyFont="1" applyFill="1" applyBorder="1" applyAlignment="1" applyProtection="0">
      <alignment vertical="top" wrapText="1"/>
    </xf>
    <xf numFmtId="0" fontId="6" fillId="3" borderId="29" applyNumberFormat="1" applyFont="1" applyFill="1" applyBorder="1" applyAlignment="1" applyProtection="0">
      <alignment vertical="top" wrapText="1"/>
    </xf>
    <xf numFmtId="4" fontId="5" fillId="3" borderId="29" applyNumberFormat="1" applyFont="1" applyFill="1" applyBorder="1" applyAlignment="1" applyProtection="0">
      <alignment vertical="top" wrapText="1"/>
    </xf>
    <xf numFmtId="63" fontId="5" fillId="3" borderId="29" applyNumberFormat="1" applyFont="1" applyFill="1" applyBorder="1" applyAlignment="1" applyProtection="0">
      <alignment vertical="top" wrapText="1"/>
    </xf>
    <xf numFmtId="0" fontId="5" fillId="3" borderId="29" applyNumberFormat="1" applyFont="1" applyFill="1" applyBorder="1" applyAlignment="1" applyProtection="0">
      <alignment vertical="top" wrapText="1"/>
    </xf>
    <xf numFmtId="63" fontId="5" fillId="3" borderId="30" applyNumberFormat="1" applyFont="1" applyFill="1" applyBorder="1" applyAlignment="1" applyProtection="0">
      <alignment vertical="top" wrapText="1"/>
    </xf>
    <xf numFmtId="0" fontId="5" fillId="2" borderId="31" applyNumberFormat="1" applyFont="1" applyFill="1" applyBorder="1" applyAlignment="1" applyProtection="0">
      <alignment vertical="top" wrapText="1"/>
    </xf>
    <xf numFmtId="59" fontId="5" fillId="4" borderId="32" applyNumberFormat="1" applyFont="1" applyFill="1" applyBorder="1" applyAlignment="1" applyProtection="0">
      <alignment vertical="top" wrapText="1"/>
    </xf>
    <xf numFmtId="49" fontId="5" fillId="4" borderId="33" applyNumberFormat="1" applyFont="1" applyFill="1" applyBorder="1" applyAlignment="1" applyProtection="0">
      <alignment vertical="top" wrapText="1"/>
    </xf>
    <xf numFmtId="0" fontId="6" fillId="4" borderId="33" applyNumberFormat="1" applyFont="1" applyFill="1" applyBorder="1" applyAlignment="1" applyProtection="0">
      <alignment vertical="top" wrapText="1"/>
    </xf>
    <xf numFmtId="4" fontId="5" fillId="4" borderId="33" applyNumberFormat="1" applyFont="1" applyFill="1" applyBorder="1" applyAlignment="1" applyProtection="0">
      <alignment vertical="top" wrapText="1"/>
    </xf>
    <xf numFmtId="63" fontId="5" fillId="4" borderId="33" applyNumberFormat="1" applyFont="1" applyFill="1" applyBorder="1" applyAlignment="1" applyProtection="0">
      <alignment vertical="top" wrapText="1"/>
    </xf>
    <xf numFmtId="0" fontId="5" fillId="4" borderId="33" applyNumberFormat="1" applyFont="1" applyFill="1" applyBorder="1" applyAlignment="1" applyProtection="0">
      <alignment vertical="top" wrapText="1"/>
    </xf>
    <xf numFmtId="63" fontId="5" fillId="4" borderId="34" applyNumberFormat="1" applyFont="1" applyFill="1" applyBorder="1" applyAlignment="1" applyProtection="0">
      <alignment vertical="top" wrapText="1"/>
    </xf>
    <xf numFmtId="0" fontId="5" fillId="2" borderId="35" applyNumberFormat="1" applyFont="1" applyFill="1" applyBorder="1" applyAlignment="1" applyProtection="0">
      <alignment vertical="top" wrapText="1"/>
    </xf>
    <xf numFmtId="59" fontId="5" fillId="3" borderId="36" applyNumberFormat="1" applyFont="1" applyFill="1" applyBorder="1" applyAlignment="1" applyProtection="0">
      <alignment vertical="top" wrapText="1"/>
    </xf>
    <xf numFmtId="0" fontId="5" fillId="3" borderId="37" applyNumberFormat="0" applyFont="1" applyFill="1" applyBorder="1" applyAlignment="1" applyProtection="0">
      <alignment vertical="top" wrapText="1"/>
    </xf>
    <xf numFmtId="49" fontId="5" fillId="3" borderId="37" applyNumberFormat="1" applyFont="1" applyFill="1" applyBorder="1" applyAlignment="1" applyProtection="0">
      <alignment vertical="top" wrapText="1"/>
    </xf>
    <xf numFmtId="0" fontId="6" fillId="3" borderId="37" applyNumberFormat="0" applyFont="1" applyFill="1" applyBorder="1" applyAlignment="1" applyProtection="0">
      <alignment vertical="top" wrapText="1"/>
    </xf>
    <xf numFmtId="4" fontId="5" fillId="3" borderId="37" applyNumberFormat="1" applyFont="1" applyFill="1" applyBorder="1" applyAlignment="1" applyProtection="0">
      <alignment vertical="top" wrapText="1"/>
    </xf>
    <xf numFmtId="63" fontId="5" fillId="3" borderId="37" applyNumberFormat="1" applyFont="1" applyFill="1" applyBorder="1" applyAlignment="1" applyProtection="0">
      <alignment vertical="top" wrapText="1"/>
    </xf>
    <xf numFmtId="63" fontId="5" fillId="3" borderId="38" applyNumberFormat="1" applyFont="1" applyFill="1" applyBorder="1" applyAlignment="1" applyProtection="0">
      <alignment vertical="top" wrapText="1"/>
    </xf>
    <xf numFmtId="0" fontId="5" fillId="5" borderId="39" applyNumberFormat="0" applyFont="1" applyFill="1" applyBorder="1" applyAlignment="1" applyProtection="0">
      <alignment vertical="top" wrapText="1"/>
    </xf>
    <xf numFmtId="59" fontId="5" fillId="5" borderId="40" applyNumberFormat="1" applyFont="1" applyFill="1" applyBorder="1" applyAlignment="1" applyProtection="0">
      <alignment vertical="top" wrapText="1"/>
    </xf>
    <xf numFmtId="0" fontId="5" fillId="5" borderId="40" applyNumberFormat="0" applyFont="1" applyFill="1" applyBorder="1" applyAlignment="1" applyProtection="0">
      <alignment vertical="top" wrapText="1"/>
    </xf>
    <xf numFmtId="49" fontId="5" fillId="5" borderId="40" applyNumberFormat="1" applyFont="1" applyFill="1" applyBorder="1" applyAlignment="1" applyProtection="0">
      <alignment vertical="top" wrapText="1"/>
    </xf>
    <xf numFmtId="0" fontId="6" fillId="5" borderId="40" applyNumberFormat="0" applyFont="1" applyFill="1" applyBorder="1" applyAlignment="1" applyProtection="0">
      <alignment vertical="top" wrapText="1"/>
    </xf>
    <xf numFmtId="4" fontId="5" fillId="5" borderId="40" applyNumberFormat="1" applyFont="1" applyFill="1" applyBorder="1" applyAlignment="1" applyProtection="0">
      <alignment vertical="top" wrapText="1"/>
    </xf>
    <xf numFmtId="63" fontId="5" fillId="5" borderId="40" applyNumberFormat="1" applyFont="1" applyFill="1" applyBorder="1" applyAlignment="1" applyProtection="0">
      <alignment vertical="top" wrapText="1"/>
    </xf>
    <xf numFmtId="63" fontId="5" fillId="5" borderId="41" applyNumberFormat="1" applyFont="1" applyFill="1" applyBorder="1" applyAlignment="1" applyProtection="0">
      <alignment vertical="top" wrapText="1"/>
    </xf>
    <xf numFmtId="49" fontId="5" fillId="3" borderId="36" applyNumberFormat="1" applyFont="1" applyFill="1" applyBorder="1" applyAlignment="1" applyProtection="0">
      <alignment vertical="top" wrapText="1"/>
    </xf>
    <xf numFmtId="0" fontId="5" fillId="2" borderId="36" applyNumberFormat="1" applyFont="1" applyFill="1" applyBorder="1" applyAlignment="1" applyProtection="0">
      <alignment vertical="top" wrapText="1"/>
    </xf>
    <xf numFmtId="0" fontId="5" fillId="3" borderId="37" applyNumberFormat="1" applyFont="1" applyFill="1" applyBorder="1" applyAlignment="1" applyProtection="0">
      <alignment vertical="top" wrapText="1"/>
    </xf>
    <xf numFmtId="0" fontId="5" fillId="2" borderId="32" applyNumberFormat="1" applyFont="1" applyFill="1" applyBorder="1" applyAlignment="1" applyProtection="0">
      <alignment vertical="top" wrapText="1"/>
    </xf>
    <xf numFmtId="0" fontId="6" fillId="4" borderId="33" applyNumberFormat="0" applyFont="1" applyFill="1" applyBorder="1" applyAlignment="1" applyProtection="0">
      <alignment vertical="top" wrapText="1"/>
    </xf>
    <xf numFmtId="0" fontId="5" fillId="4" borderId="33" applyNumberFormat="0" applyFont="1" applyFill="1" applyBorder="1" applyAlignment="1" applyProtection="0">
      <alignment vertical="top" wrapText="1"/>
    </xf>
    <xf numFmtId="63" fontId="5" fillId="4" borderId="42" applyNumberFormat="1" applyFont="1" applyFill="1" applyBorder="1" applyAlignment="1" applyProtection="0">
      <alignment vertical="top" wrapText="1"/>
    </xf>
    <xf numFmtId="0" fontId="5" fillId="5" borderId="43" applyNumberFormat="0" applyFont="1" applyFill="1" applyBorder="1" applyAlignment="1" applyProtection="0">
      <alignment vertical="top" wrapText="1"/>
    </xf>
    <xf numFmtId="59" fontId="5" fillId="5" borderId="44" applyNumberFormat="1" applyFont="1" applyFill="1" applyBorder="1" applyAlignment="1" applyProtection="0">
      <alignment vertical="top" wrapText="1"/>
    </xf>
    <xf numFmtId="0" fontId="5" fillId="5" borderId="44" applyNumberFormat="0" applyFont="1" applyFill="1" applyBorder="1" applyAlignment="1" applyProtection="0">
      <alignment vertical="top" wrapText="1"/>
    </xf>
    <xf numFmtId="49" fontId="5" fillId="5" borderId="44" applyNumberFormat="1" applyFont="1" applyFill="1" applyBorder="1" applyAlignment="1" applyProtection="0">
      <alignment vertical="top" wrapText="1"/>
    </xf>
    <xf numFmtId="0" fontId="6" fillId="5" borderId="44" applyNumberFormat="0" applyFont="1" applyFill="1" applyBorder="1" applyAlignment="1" applyProtection="0">
      <alignment vertical="top" wrapText="1"/>
    </xf>
    <xf numFmtId="4" fontId="5" fillId="5" borderId="44" applyNumberFormat="1" applyFont="1" applyFill="1" applyBorder="1" applyAlignment="1" applyProtection="0">
      <alignment vertical="top" wrapText="1"/>
    </xf>
    <xf numFmtId="63" fontId="5" fillId="5" borderId="44" applyNumberFormat="1" applyFont="1" applyFill="1" applyBorder="1" applyAlignment="1" applyProtection="0">
      <alignment vertical="top" wrapText="1"/>
    </xf>
    <xf numFmtId="63" fontId="5" fillId="5" borderId="45" applyNumberFormat="1" applyFont="1" applyFill="1" applyBorder="1" applyAlignment="1" applyProtection="0">
      <alignment vertical="top" wrapText="1"/>
    </xf>
    <xf numFmtId="0" fontId="5" fillId="5" borderId="46" applyNumberFormat="0" applyFont="1" applyFill="1" applyBorder="1" applyAlignment="1" applyProtection="0">
      <alignment vertical="top" wrapText="1"/>
    </xf>
    <xf numFmtId="59" fontId="5" fillId="5" borderId="47" applyNumberFormat="1" applyFont="1" applyFill="1" applyBorder="1" applyAlignment="1" applyProtection="0">
      <alignment vertical="top" wrapText="1"/>
    </xf>
    <xf numFmtId="0" fontId="5" fillId="5" borderId="47" applyNumberFormat="0" applyFont="1" applyFill="1" applyBorder="1" applyAlignment="1" applyProtection="0">
      <alignment vertical="top" wrapText="1"/>
    </xf>
    <xf numFmtId="49" fontId="5" fillId="5" borderId="47" applyNumberFormat="1" applyFont="1" applyFill="1" applyBorder="1" applyAlignment="1" applyProtection="0">
      <alignment vertical="top" wrapText="1"/>
    </xf>
    <xf numFmtId="0" fontId="6" fillId="5" borderId="47" applyNumberFormat="0" applyFont="1" applyFill="1" applyBorder="1" applyAlignment="1" applyProtection="0">
      <alignment vertical="top" wrapText="1"/>
    </xf>
    <xf numFmtId="4" fontId="5" fillId="5" borderId="47" applyNumberFormat="1" applyFont="1" applyFill="1" applyBorder="1" applyAlignment="1" applyProtection="0">
      <alignment vertical="top" wrapText="1"/>
    </xf>
    <xf numFmtId="63" fontId="5" fillId="5" borderId="47" applyNumberFormat="1" applyFont="1" applyFill="1" applyBorder="1" applyAlignment="1" applyProtection="0">
      <alignment vertical="top" wrapText="1"/>
    </xf>
    <xf numFmtId="63" fontId="5" fillId="5" borderId="48" applyNumberFormat="1" applyFont="1" applyFill="1" applyBorder="1" applyAlignment="1" applyProtection="0">
      <alignment vertical="top" wrapText="1"/>
    </xf>
    <xf numFmtId="0" fontId="5" fillId="2" borderId="49" applyNumberFormat="0" applyFont="1" applyFill="1" applyBorder="1" applyAlignment="1" applyProtection="0">
      <alignment vertical="top" wrapText="1"/>
    </xf>
    <xf numFmtId="0" fontId="6" fillId="3" borderId="37" applyNumberFormat="1" applyFont="1" applyFill="1" applyBorder="1" applyAlignment="1" applyProtection="0">
      <alignment vertical="top" wrapText="1"/>
    </xf>
    <xf numFmtId="63" fontId="5" fillId="3" borderId="50" applyNumberFormat="1" applyFont="1" applyFill="1" applyBorder="1" applyAlignment="1" applyProtection="0">
      <alignment vertical="top" wrapText="1"/>
    </xf>
    <xf numFmtId="49" fontId="5" fillId="4" borderId="37" applyNumberFormat="1" applyFont="1" applyFill="1" applyBorder="1" applyAlignment="1" applyProtection="0">
      <alignment vertical="top" wrapText="1"/>
    </xf>
    <xf numFmtId="0" fontId="5" fillId="4" borderId="37" applyNumberFormat="1" applyFont="1" applyFill="1" applyBorder="1" applyAlignment="1" applyProtection="0">
      <alignment vertical="top" wrapText="1"/>
    </xf>
    <xf numFmtId="0" fontId="6" fillId="4" borderId="37" applyNumberFormat="0" applyFont="1" applyFill="1" applyBorder="1" applyAlignment="1" applyProtection="0">
      <alignment vertical="top" wrapText="1"/>
    </xf>
    <xf numFmtId="4" fontId="5" fillId="4" borderId="37" applyNumberFormat="1" applyFont="1" applyFill="1" applyBorder="1" applyAlignment="1" applyProtection="0">
      <alignment vertical="top" wrapText="1"/>
    </xf>
    <xf numFmtId="63" fontId="5" fillId="4" borderId="37" applyNumberFormat="1" applyFont="1" applyFill="1" applyBorder="1" applyAlignment="1" applyProtection="0">
      <alignment vertical="top" wrapText="1"/>
    </xf>
    <xf numFmtId="0" fontId="5" fillId="4" borderId="37" applyNumberFormat="0" applyFont="1" applyFill="1" applyBorder="1" applyAlignment="1" applyProtection="0">
      <alignment vertical="top" wrapText="1"/>
    </xf>
    <xf numFmtId="63" fontId="5" fillId="4" borderId="38" applyNumberFormat="1" applyFont="1" applyFill="1" applyBorder="1" applyAlignment="1" applyProtection="0">
      <alignment vertical="top" wrapText="1"/>
    </xf>
    <xf numFmtId="59" fontId="5" fillId="4" borderId="24" applyNumberFormat="1" applyFont="1" applyFill="1" applyBorder="1" applyAlignment="1" applyProtection="0">
      <alignment vertical="top" wrapText="1"/>
    </xf>
    <xf numFmtId="49" fontId="5" fillId="4" borderId="25" applyNumberFormat="1" applyFont="1" applyFill="1" applyBorder="1" applyAlignment="1" applyProtection="0">
      <alignment vertical="top" wrapText="1"/>
    </xf>
    <xf numFmtId="0" fontId="6" fillId="4" borderId="25" applyNumberFormat="1" applyFont="1" applyFill="1" applyBorder="1" applyAlignment="1" applyProtection="0">
      <alignment vertical="top" wrapText="1"/>
    </xf>
    <xf numFmtId="4" fontId="5" fillId="4" borderId="25" applyNumberFormat="1" applyFont="1" applyFill="1" applyBorder="1" applyAlignment="1" applyProtection="0">
      <alignment vertical="top" wrapText="1"/>
    </xf>
    <xf numFmtId="63" fontId="5" fillId="4" borderId="25" applyNumberFormat="1" applyFont="1" applyFill="1" applyBorder="1" applyAlignment="1" applyProtection="0">
      <alignment vertical="top" wrapText="1"/>
    </xf>
    <xf numFmtId="0" fontId="5" fillId="4" borderId="25" applyNumberFormat="1" applyFont="1" applyFill="1" applyBorder="1" applyAlignment="1" applyProtection="0">
      <alignment vertical="top" wrapText="1"/>
    </xf>
    <xf numFmtId="63" fontId="5" fillId="4" borderId="26" applyNumberFormat="1" applyFont="1" applyFill="1" applyBorder="1" applyAlignment="1" applyProtection="0">
      <alignment vertical="top" wrapText="1"/>
    </xf>
    <xf numFmtId="49" fontId="5" fillId="3" borderId="28" applyNumberFormat="1" applyFont="1" applyFill="1" applyBorder="1" applyAlignment="1" applyProtection="0">
      <alignment vertical="top" wrapText="1"/>
    </xf>
    <xf numFmtId="0" fontId="5" fillId="3" borderId="29" applyNumberFormat="0" applyFont="1" applyFill="1" applyBorder="1" applyAlignment="1" applyProtection="0">
      <alignment vertical="top" wrapText="1"/>
    </xf>
    <xf numFmtId="0" fontId="5" fillId="2" borderId="27" applyNumberFormat="0" applyFont="1" applyFill="1" applyBorder="1" applyAlignment="1" applyProtection="0">
      <alignment vertical="top" wrapText="1"/>
    </xf>
    <xf numFmtId="0" fontId="5" fillId="4" borderId="29" applyNumberFormat="0" applyFont="1" applyFill="1" applyBorder="1" applyAlignment="1" applyProtection="0">
      <alignment vertical="top" wrapText="1"/>
    </xf>
    <xf numFmtId="0" fontId="5" fillId="2" borderId="31" applyNumberFormat="0" applyFont="1" applyFill="1" applyBorder="1" applyAlignment="1" applyProtection="0">
      <alignment vertical="top" wrapText="1"/>
    </xf>
    <xf numFmtId="0" fontId="5" applyNumberFormat="1" applyFont="1" applyFill="0" applyBorder="0" applyAlignment="1" applyProtection="0">
      <alignment vertical="top" wrapText="1"/>
    </xf>
    <xf numFmtId="0" fontId="7" applyNumberFormat="0" applyFont="1" applyFill="0" applyBorder="0" applyAlignment="1" applyProtection="0">
      <alignment horizontal="center" vertical="center"/>
    </xf>
    <xf numFmtId="49" fontId="5" fillId="3" borderId="24" applyNumberFormat="1" applyFont="1" applyFill="1" applyBorder="1" applyAlignment="1" applyProtection="0">
      <alignment vertical="top" wrapText="1"/>
    </xf>
    <xf numFmtId="0" fontId="5" fillId="2" borderId="51" applyNumberFormat="1" applyFont="1" applyFill="1" applyBorder="1" applyAlignment="1" applyProtection="0">
      <alignment vertical="top" wrapText="1"/>
    </xf>
    <xf numFmtId="0" fontId="5" fillId="2" borderId="52" applyNumberFormat="1" applyFont="1" applyFill="1" applyBorder="1" applyAlignment="1" applyProtection="0">
      <alignment vertical="top" wrapText="1"/>
    </xf>
    <xf numFmtId="49" fontId="5" fillId="3" borderId="33" applyNumberFormat="1" applyFont="1" applyFill="1" applyBorder="1" applyAlignment="1" applyProtection="0">
      <alignment vertical="top" wrapText="1"/>
    </xf>
    <xf numFmtId="0" fontId="6" fillId="3" borderId="33" applyNumberFormat="1" applyFont="1" applyFill="1" applyBorder="1" applyAlignment="1" applyProtection="0">
      <alignment vertical="top" wrapText="1"/>
    </xf>
    <xf numFmtId="63" fontId="5" fillId="3" borderId="33" applyNumberFormat="1" applyFont="1" applyFill="1" applyBorder="1" applyAlignment="1" applyProtection="0">
      <alignment vertical="top" wrapText="1"/>
    </xf>
    <xf numFmtId="0" fontId="5" fillId="3" borderId="33" applyNumberFormat="1" applyFont="1" applyFill="1" applyBorder="1" applyAlignment="1" applyProtection="0">
      <alignment vertical="top" wrapText="1"/>
    </xf>
    <xf numFmtId="63" fontId="5" fillId="3" borderId="34" applyNumberFormat="1" applyFont="1" applyFill="1" applyBorder="1" applyAlignment="1" applyProtection="0">
      <alignment vertical="top" wrapText="1"/>
    </xf>
    <xf numFmtId="49" fontId="5" fillId="4" borderId="36" applyNumberFormat="1" applyFont="1" applyFill="1" applyBorder="1" applyAlignment="1" applyProtection="0">
      <alignment vertical="top" wrapText="1"/>
    </xf>
    <xf numFmtId="63" fontId="5" fillId="4" borderId="50" applyNumberFormat="1" applyFont="1" applyFill="1" applyBorder="1" applyAlignment="1" applyProtection="0">
      <alignment vertical="top" wrapText="1"/>
    </xf>
    <xf numFmtId="0" fontId="5" fillId="2" borderId="53" applyNumberFormat="1" applyFont="1" applyFill="1" applyBorder="1" applyAlignment="1" applyProtection="0">
      <alignment vertical="top" wrapText="1"/>
    </xf>
    <xf numFmtId="49" fontId="5" fillId="4" borderId="28" applyNumberFormat="1" applyFont="1" applyFill="1" applyBorder="1" applyAlignment="1" applyProtection="0">
      <alignment vertical="top" wrapText="1"/>
    </xf>
    <xf numFmtId="49" fontId="5" fillId="4" borderId="32" applyNumberFormat="1" applyFont="1" applyFill="1" applyBorder="1" applyAlignment="1" applyProtection="0">
      <alignment vertical="top" wrapText="1"/>
    </xf>
    <xf numFmtId="63" fontId="5" fillId="3" borderId="36" applyNumberFormat="1" applyFont="1" applyFill="1" applyBorder="1" applyAlignment="1" applyProtection="0">
      <alignment vertical="top" wrapText="1"/>
    </xf>
    <xf numFmtId="49" fontId="5" fillId="3" borderId="32" applyNumberFormat="1" applyFont="1" applyFill="1" applyBorder="1" applyAlignment="1" applyProtection="0">
      <alignment vertical="top" wrapText="1"/>
    </xf>
    <xf numFmtId="0" fontId="5" fillId="3" borderId="33" applyNumberFormat="0" applyFont="1" applyFill="1" applyBorder="1" applyAlignment="1" applyProtection="0">
      <alignment vertical="top" wrapText="1"/>
    </xf>
    <xf numFmtId="63" fontId="5" fillId="4" borderId="36" applyNumberFormat="1" applyFont="1" applyFill="1" applyBorder="1" applyAlignment="1" applyProtection="0">
      <alignment vertical="top" wrapText="1"/>
    </xf>
    <xf numFmtId="0" fontId="5" fillId="2" borderId="51" applyNumberFormat="0" applyFont="1" applyFill="1" applyBorder="1" applyAlignment="1" applyProtection="0">
      <alignment vertical="top" wrapText="1"/>
    </xf>
    <xf numFmtId="0" fontId="5" fillId="2" borderId="52" applyNumberFormat="0" applyFont="1" applyFill="1" applyBorder="1" applyAlignment="1" applyProtection="0">
      <alignment vertical="top" wrapText="1"/>
    </xf>
    <xf numFmtId="0" fontId="5" fillId="2" borderId="53" applyNumberFormat="0" applyFont="1" applyFill="1" applyBorder="1" applyAlignment="1" applyProtection="0">
      <alignment vertical="top" wrapText="1"/>
    </xf>
    <xf numFmtId="0" fontId="5" applyNumberFormat="1" applyFont="1" applyFill="0" applyBorder="0" applyAlignment="1" applyProtection="0">
      <alignment vertical="top" wrapText="1"/>
    </xf>
    <xf numFmtId="0" fontId="5" fillId="2" borderId="21" applyNumberFormat="0" applyFont="1" applyFill="1" applyBorder="1" applyAlignment="1" applyProtection="0">
      <alignment horizontal="center" vertical="top" wrapText="1"/>
    </xf>
    <xf numFmtId="0" fontId="5" fillId="2" borderId="23" applyNumberFormat="0" applyFont="1" applyFill="1" applyBorder="1" applyAlignment="1" applyProtection="0">
      <alignment vertical="top" wrapText="1"/>
    </xf>
    <xf numFmtId="0" fontId="5" fillId="2" borderId="36" applyNumberFormat="0" applyFont="1" applyFill="1" applyBorder="1" applyAlignment="1" applyProtection="0">
      <alignment vertical="top" wrapText="1"/>
    </xf>
    <xf numFmtId="0" fontId="5" fillId="2" borderId="35" applyNumberFormat="0" applyFont="1" applyFill="1" applyBorder="1" applyAlignment="1" applyProtection="0">
      <alignment vertical="top" wrapText="1"/>
    </xf>
    <xf numFmtId="0" fontId="5" fillId="3" borderId="36" applyNumberFormat="0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8" applyNumberFormat="0" applyFont="1" applyFill="0" applyBorder="0" applyAlignment="1" applyProtection="0">
      <alignment horizontal="center" vertical="center"/>
    </xf>
    <xf numFmtId="0" fontId="9" fillId="6" borderId="54" applyNumberFormat="0" applyFont="1" applyFill="1" applyBorder="1" applyAlignment="1" applyProtection="0">
      <alignment horizontal="center" vertical="center" wrapText="1"/>
    </xf>
    <xf numFmtId="0" fontId="10" fillId="6" borderId="55" applyNumberFormat="0" applyFont="1" applyFill="1" applyBorder="1" applyAlignment="1" applyProtection="0">
      <alignment horizontal="center" vertical="center" wrapText="1"/>
    </xf>
    <xf numFmtId="49" fontId="11" fillId="6" borderId="55" applyNumberFormat="1" applyFont="1" applyFill="1" applyBorder="1" applyAlignment="1" applyProtection="0">
      <alignment horizontal="center" vertical="center" wrapText="1"/>
    </xf>
    <xf numFmtId="0" fontId="0" fillId="7" borderId="55" applyNumberFormat="0" applyFont="1" applyFill="1" applyBorder="1" applyAlignment="1" applyProtection="0">
      <alignment vertical="top" wrapText="1"/>
    </xf>
    <xf numFmtId="61" fontId="11" fillId="6" borderId="55" applyNumberFormat="1" applyFont="1" applyFill="1" applyBorder="1" applyAlignment="1" applyProtection="0">
      <alignment horizontal="center" vertical="center" wrapText="1"/>
    </xf>
    <xf numFmtId="61" fontId="11" fillId="6" borderId="56" applyNumberFormat="1" applyFont="1" applyFill="1" applyBorder="1" applyAlignment="1" applyProtection="0">
      <alignment horizontal="center" vertical="center" wrapText="1"/>
    </xf>
    <xf numFmtId="0" fontId="12" fillId="6" borderId="57" applyNumberFormat="0" applyFont="1" applyFill="1" applyBorder="1" applyAlignment="1" applyProtection="0">
      <alignment horizontal="center" vertical="center" wrapText="1"/>
    </xf>
    <xf numFmtId="49" fontId="10" fillId="6" borderId="58" applyNumberFormat="1" applyFont="1" applyFill="1" applyBorder="1" applyAlignment="1" applyProtection="0">
      <alignment horizontal="center" vertical="center" wrapText="1"/>
    </xf>
    <xf numFmtId="49" fontId="10" fillId="6" borderId="59" applyNumberFormat="1" applyFont="1" applyFill="1" applyBorder="1" applyAlignment="1" applyProtection="0">
      <alignment horizontal="center" vertical="center" wrapText="1"/>
    </xf>
    <xf numFmtId="0" fontId="9" fillId="8" borderId="60" applyNumberFormat="1" applyFont="1" applyFill="1" applyBorder="1" applyAlignment="1" applyProtection="0">
      <alignment horizontal="center" vertical="center" wrapText="1"/>
    </xf>
    <xf numFmtId="49" fontId="13" fillId="9" borderId="61" applyNumberFormat="1" applyFont="1" applyFill="1" applyBorder="1" applyAlignment="1" applyProtection="0">
      <alignment vertical="top" wrapText="1"/>
    </xf>
    <xf numFmtId="0" fontId="0" fillId="9" borderId="61" applyNumberFormat="1" applyFont="1" applyFill="1" applyBorder="1" applyAlignment="1" applyProtection="0">
      <alignment vertical="top" wrapText="1"/>
    </xf>
    <xf numFmtId="60" fontId="0" fillId="9" borderId="61" applyNumberFormat="1" applyFont="1" applyFill="1" applyBorder="1" applyAlignment="1" applyProtection="0">
      <alignment vertical="top" wrapText="1"/>
    </xf>
    <xf numFmtId="61" fontId="0" fillId="9" borderId="61" applyNumberFormat="1" applyFont="1" applyFill="1" applyBorder="1" applyAlignment="1" applyProtection="0">
      <alignment vertical="top" wrapText="1"/>
    </xf>
    <xf numFmtId="61" fontId="0" fillId="9" borderId="62" applyNumberFormat="1" applyFont="1" applyFill="1" applyBorder="1" applyAlignment="1" applyProtection="0">
      <alignment vertical="top" wrapText="1"/>
    </xf>
    <xf numFmtId="0" fontId="0" fillId="8" borderId="63" applyNumberFormat="0" applyFont="1" applyFill="1" applyBorder="1" applyAlignment="1" applyProtection="0">
      <alignment vertical="top" wrapText="1"/>
    </xf>
    <xf numFmtId="49" fontId="13" fillId="8" borderId="61" applyNumberFormat="1" applyFont="1" applyFill="1" applyBorder="1" applyAlignment="1" applyProtection="0">
      <alignment vertical="top" wrapText="1"/>
    </xf>
    <xf numFmtId="0" fontId="0" fillId="8" borderId="61" applyNumberFormat="1" applyFont="1" applyFill="1" applyBorder="1" applyAlignment="1" applyProtection="0">
      <alignment vertical="top" wrapText="1"/>
    </xf>
    <xf numFmtId="60" fontId="0" fillId="8" borderId="61" applyNumberFormat="1" applyFont="1" applyFill="1" applyBorder="1" applyAlignment="1" applyProtection="0">
      <alignment vertical="top" wrapText="1"/>
    </xf>
    <xf numFmtId="61" fontId="0" fillId="8" borderId="61" applyNumberFormat="1" applyFont="1" applyFill="1" applyBorder="1" applyAlignment="1" applyProtection="0">
      <alignment vertical="top" wrapText="1"/>
    </xf>
    <xf numFmtId="61" fontId="0" fillId="8" borderId="62" applyNumberFormat="1" applyFont="1" applyFill="1" applyBorder="1" applyAlignment="1" applyProtection="0">
      <alignment vertical="top" wrapText="1"/>
    </xf>
    <xf numFmtId="0" fontId="0" fillId="9" borderId="64" applyNumberFormat="0" applyFont="1" applyFill="1" applyBorder="1" applyAlignment="1" applyProtection="0">
      <alignment vertical="top" wrapText="1"/>
    </xf>
    <xf numFmtId="0" fontId="10" fillId="6" borderId="65" applyNumberFormat="0" applyFont="1" applyFill="1" applyBorder="1" applyAlignment="1" applyProtection="0">
      <alignment horizontal="center" vertical="center" wrapText="1"/>
    </xf>
    <xf numFmtId="0" fontId="10" fillId="6" borderId="66" applyNumberFormat="0" applyFont="1" applyFill="1" applyBorder="1" applyAlignment="1" applyProtection="0">
      <alignment vertical="top" wrapText="1"/>
    </xf>
    <xf numFmtId="0" fontId="10" fillId="6" borderId="66" applyNumberFormat="1" applyFont="1" applyFill="1" applyBorder="1" applyAlignment="1" applyProtection="0">
      <alignment vertical="top" wrapText="1"/>
    </xf>
    <xf numFmtId="60" fontId="10" fillId="6" borderId="66" applyNumberFormat="1" applyFont="1" applyFill="1" applyBorder="1" applyAlignment="1" applyProtection="0">
      <alignment vertical="top" wrapText="1"/>
    </xf>
    <xf numFmtId="61" fontId="10" fillId="6" borderId="66" applyNumberFormat="1" applyFont="1" applyFill="1" applyBorder="1" applyAlignment="1" applyProtection="0">
      <alignment vertical="top" wrapText="1"/>
    </xf>
    <xf numFmtId="61" fontId="10" fillId="6" borderId="67" applyNumberFormat="1" applyFont="1" applyFill="1" applyBorder="1" applyAlignment="1" applyProtection="0">
      <alignment vertical="top" wrapText="1"/>
    </xf>
    <xf numFmtId="0" fontId="9" fillId="9" borderId="60" applyNumberFormat="1" applyFont="1" applyFill="1" applyBorder="1" applyAlignment="1" applyProtection="0">
      <alignment horizontal="center" vertical="center" wrapText="1"/>
    </xf>
    <xf numFmtId="0" fontId="0" fillId="9" borderId="63" applyNumberFormat="0" applyFont="1" applyFill="1" applyBorder="1" applyAlignment="1" applyProtection="0">
      <alignment vertical="top" wrapText="1"/>
    </xf>
    <xf numFmtId="0" fontId="0" fillId="8" borderId="64" applyNumberFormat="0" applyFont="1" applyFill="1" applyBorder="1" applyAlignment="1" applyProtection="0">
      <alignment vertical="top" wrapText="1"/>
    </xf>
    <xf numFmtId="49" fontId="10" fillId="6" borderId="66" applyNumberFormat="1" applyFont="1" applyFill="1" applyBorder="1" applyAlignment="1" applyProtection="0">
      <alignment vertical="top" wrapText="1"/>
    </xf>
    <xf numFmtId="63" fontId="0" fillId="8" borderId="61" applyNumberFormat="1" applyFont="1" applyFill="1" applyBorder="1" applyAlignment="1" applyProtection="0">
      <alignment vertical="top" wrapText="1"/>
    </xf>
    <xf numFmtId="59" fontId="0" fillId="9" borderId="61" applyNumberFormat="1" applyFont="1" applyFill="1" applyBorder="1" applyAlignment="1" applyProtection="0">
      <alignment vertical="top" wrapText="1"/>
    </xf>
    <xf numFmtId="0" fontId="0" fillId="9" borderId="61" applyNumberFormat="0" applyFont="1" applyFill="1" applyBorder="1" applyAlignment="1" applyProtection="0">
      <alignment vertical="top" wrapText="1"/>
    </xf>
    <xf numFmtId="49" fontId="0" fillId="9" borderId="61" applyNumberFormat="1" applyFont="1" applyFill="1" applyBorder="1" applyAlignment="1" applyProtection="0">
      <alignment vertical="top" wrapText="1"/>
    </xf>
    <xf numFmtId="59" fontId="0" fillId="8" borderId="61" applyNumberFormat="1" applyFont="1" applyFill="1" applyBorder="1" applyAlignment="1" applyProtection="0">
      <alignment vertical="top" wrapText="1"/>
    </xf>
    <xf numFmtId="0" fontId="0" fillId="8" borderId="61" applyNumberFormat="0" applyFont="1" applyFill="1" applyBorder="1" applyAlignment="1" applyProtection="0">
      <alignment vertical="top" wrapText="1"/>
    </xf>
    <xf numFmtId="49" fontId="0" fillId="8" borderId="61" applyNumberFormat="1" applyFont="1" applyFill="1" applyBorder="1" applyAlignment="1" applyProtection="0">
      <alignment vertical="top" wrapText="1"/>
    </xf>
    <xf numFmtId="63" fontId="10" fillId="6" borderId="66" applyNumberFormat="1" applyFont="1" applyFill="1" applyBorder="1" applyAlignment="1" applyProtection="0">
      <alignment vertical="top" wrapText="1"/>
    </xf>
    <xf numFmtId="0" fontId="10" fillId="6" borderId="68" applyNumberFormat="0" applyFont="1" applyFill="1" applyBorder="1" applyAlignment="1" applyProtection="0">
      <alignment horizontal="center" vertical="center" wrapText="1"/>
    </xf>
    <xf numFmtId="49" fontId="10" fillId="6" borderId="69" applyNumberFormat="1" applyFont="1" applyFill="1" applyBorder="1" applyAlignment="1" applyProtection="0">
      <alignment vertical="top" wrapText="1"/>
    </xf>
    <xf numFmtId="0" fontId="10" fillId="6" borderId="69" applyNumberFormat="1" applyFont="1" applyFill="1" applyBorder="1" applyAlignment="1" applyProtection="0">
      <alignment vertical="top" wrapText="1"/>
    </xf>
    <xf numFmtId="61" fontId="10" fillId="6" borderId="69" applyNumberFormat="1" applyFont="1" applyFill="1" applyBorder="1" applyAlignment="1" applyProtection="0">
      <alignment vertical="top" wrapText="1"/>
    </xf>
    <xf numFmtId="61" fontId="10" fillId="6" borderId="70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bottom"/>
    </xf>
    <xf numFmtId="49" fontId="8" fillId="5" borderId="71" applyNumberFormat="1" applyFont="1" applyFill="1" applyBorder="1" applyAlignment="1" applyProtection="0">
      <alignment horizontal="center" vertical="top" wrapText="1"/>
    </xf>
    <xf numFmtId="0" fontId="0" borderId="72" applyNumberFormat="0" applyFont="1" applyFill="0" applyBorder="1" applyAlignment="1" applyProtection="0">
      <alignment vertical="bottom"/>
    </xf>
    <xf numFmtId="0" fontId="0" borderId="73" applyNumberFormat="0" applyFont="1" applyFill="0" applyBorder="1" applyAlignment="1" applyProtection="0">
      <alignment vertical="bottom"/>
    </xf>
    <xf numFmtId="0" fontId="10" fillId="6" borderId="74" applyNumberFormat="1" applyFont="1" applyFill="1" applyBorder="1" applyAlignment="1" applyProtection="0">
      <alignment vertical="top" wrapText="1"/>
    </xf>
    <xf numFmtId="49" fontId="10" fillId="6" borderId="75" applyNumberFormat="1" applyFont="1" applyFill="1" applyBorder="1" applyAlignment="1" applyProtection="0">
      <alignment vertical="top" wrapText="1"/>
    </xf>
    <xf numFmtId="0" fontId="10" fillId="6" borderId="75" applyNumberFormat="0" applyFont="1" applyFill="1" applyBorder="1" applyAlignment="1" applyProtection="0">
      <alignment vertical="top" wrapText="1"/>
    </xf>
    <xf numFmtId="49" fontId="10" fillId="6" borderId="76" applyNumberFormat="1" applyFont="1" applyFill="1" applyBorder="1" applyAlignment="1" applyProtection="0">
      <alignment vertical="top" wrapText="1"/>
    </xf>
    <xf numFmtId="64" fontId="13" fillId="9" borderId="77" applyNumberFormat="1" applyFont="1" applyFill="1" applyBorder="1" applyAlignment="1" applyProtection="0">
      <alignment vertical="top" wrapText="1"/>
    </xf>
    <xf numFmtId="0" fontId="10" fillId="6" borderId="65" applyNumberFormat="1" applyFont="1" applyFill="1" applyBorder="1" applyAlignment="1" applyProtection="0">
      <alignment vertical="top" wrapText="1"/>
    </xf>
    <xf numFmtId="49" fontId="10" fillId="6" borderId="67" applyNumberFormat="1" applyFont="1" applyFill="1" applyBorder="1" applyAlignment="1" applyProtection="0">
      <alignment vertical="top" wrapText="1"/>
    </xf>
    <xf numFmtId="0" fontId="10" fillId="6" borderId="68" applyNumberFormat="0" applyFont="1" applyFill="1" applyBorder="1" applyAlignment="1" applyProtection="0">
      <alignment vertical="top" wrapText="1"/>
    </xf>
    <xf numFmtId="0" fontId="10" fillId="6" borderId="69" applyNumberFormat="0" applyFont="1" applyFill="1" applyBorder="1" applyAlignment="1" applyProtection="0">
      <alignment vertical="top" wrapText="1"/>
    </xf>
    <xf numFmtId="0" fontId="10" fillId="6" borderId="70" applyNumberFormat="0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bottom"/>
    </xf>
    <xf numFmtId="64" fontId="0" borderId="78" applyNumberFormat="1" applyFont="1" applyFill="0" applyBorder="1" applyAlignment="1" applyProtection="0">
      <alignment vertical="bottom"/>
    </xf>
    <xf numFmtId="49" fontId="8" borderId="79" applyNumberFormat="1" applyFont="1" applyFill="0" applyBorder="1" applyAlignment="1" applyProtection="0">
      <alignment horizontal="center" vertical="top" wrapText="1"/>
    </xf>
    <xf numFmtId="0" fontId="0" borderId="79" applyNumberFormat="0" applyFont="1" applyFill="0" applyBorder="1" applyAlignment="1" applyProtection="0">
      <alignment vertical="bottom"/>
    </xf>
    <xf numFmtId="64" fontId="0" fillId="8" borderId="78" applyNumberFormat="1" applyFont="1" applyFill="1" applyBorder="1" applyAlignment="1" applyProtection="0">
      <alignment vertical="bottom"/>
    </xf>
    <xf numFmtId="49" fontId="8" fillId="8" borderId="80" applyNumberFormat="1" applyFont="1" applyFill="1" applyBorder="1" applyAlignment="1" applyProtection="0">
      <alignment horizontal="center" vertical="top" wrapText="1"/>
    </xf>
    <xf numFmtId="0" fontId="0" fillId="8" borderId="81" applyNumberFormat="0" applyFont="1" applyFill="1" applyBorder="1" applyAlignment="1" applyProtection="0">
      <alignment vertical="bottom"/>
    </xf>
    <xf numFmtId="0" fontId="0" fillId="8" borderId="82" applyNumberFormat="0" applyFont="1" applyFill="1" applyBorder="1" applyAlignment="1" applyProtection="0">
      <alignment vertical="bottom"/>
    </xf>
    <xf numFmtId="0" fontId="0" fillId="8" borderId="83" applyNumberFormat="0" applyFont="1" applyFill="1" applyBorder="1" applyAlignment="1" applyProtection="0">
      <alignment vertical="bottom"/>
    </xf>
    <xf numFmtId="49" fontId="8" fillId="8" borderId="84" applyNumberFormat="1" applyFont="1" applyFill="1" applyBorder="1" applyAlignment="1" applyProtection="0">
      <alignment horizontal="center" vertical="top" wrapText="1"/>
    </xf>
    <xf numFmtId="0" fontId="0" fillId="8" borderId="85" applyNumberFormat="0" applyFont="1" applyFill="1" applyBorder="1" applyAlignment="1" applyProtection="0">
      <alignment vertical="bottom"/>
    </xf>
    <xf numFmtId="49" fontId="10" fillId="6" borderId="71" applyNumberFormat="1" applyFont="1" applyFill="1" applyBorder="1" applyAlignment="1" applyProtection="0">
      <alignment horizontal="center" vertical="top" wrapText="1"/>
    </xf>
    <xf numFmtId="49" fontId="10" fillId="6" borderId="72" applyNumberFormat="1" applyFont="1" applyFill="1" applyBorder="1" applyAlignment="1" applyProtection="0">
      <alignment horizontal="center" vertical="top" wrapText="1"/>
    </xf>
    <xf numFmtId="49" fontId="10" fillId="6" borderId="86" applyNumberFormat="1" applyFont="1" applyFill="1" applyBorder="1" applyAlignment="1" applyProtection="0">
      <alignment horizontal="center" vertical="top" wrapText="1"/>
    </xf>
    <xf numFmtId="49" fontId="10" fillId="6" borderId="87" applyNumberFormat="1" applyFont="1" applyFill="1" applyBorder="1" applyAlignment="1" applyProtection="0">
      <alignment horizontal="center" vertical="top" wrapText="1"/>
    </xf>
    <xf numFmtId="49" fontId="10" fillId="6" borderId="73" applyNumberFormat="1" applyFont="1" applyFill="1" applyBorder="1" applyAlignment="1" applyProtection="0">
      <alignment horizontal="center" vertical="top" wrapText="1"/>
    </xf>
    <xf numFmtId="0" fontId="13" fillId="8" borderId="88" applyNumberFormat="1" applyFont="1" applyFill="1" applyBorder="1" applyAlignment="1" applyProtection="0">
      <alignment vertical="top" wrapText="1"/>
    </xf>
    <xf numFmtId="61" fontId="0" fillId="8" borderId="89" applyNumberFormat="1" applyFont="1" applyFill="1" applyBorder="1" applyAlignment="1" applyProtection="0">
      <alignment vertical="top" wrapText="1"/>
    </xf>
    <xf numFmtId="0" fontId="0" fillId="8" borderId="90" applyNumberFormat="0" applyFont="1" applyFill="1" applyBorder="1" applyAlignment="1" applyProtection="0">
      <alignment vertical="top" wrapText="1"/>
    </xf>
    <xf numFmtId="61" fontId="0" fillId="8" borderId="91" applyNumberFormat="1" applyFont="1" applyFill="1" applyBorder="1" applyAlignment="1" applyProtection="0">
      <alignment vertical="top" wrapText="1"/>
    </xf>
    <xf numFmtId="65" fontId="0" fillId="8" borderId="89" applyNumberFormat="1" applyFont="1" applyFill="1" applyBorder="1" applyAlignment="1" applyProtection="0">
      <alignment vertical="top" wrapText="1"/>
    </xf>
    <xf numFmtId="0" fontId="0" fillId="8" borderId="89" applyNumberFormat="1" applyFont="1" applyFill="1" applyBorder="1" applyAlignment="1" applyProtection="0">
      <alignment vertical="top" wrapText="1"/>
    </xf>
    <xf numFmtId="66" fontId="0" fillId="8" borderId="90" applyNumberFormat="1" applyFont="1" applyFill="1" applyBorder="1" applyAlignment="1" applyProtection="0">
      <alignment vertical="top" wrapText="1"/>
    </xf>
    <xf numFmtId="61" fontId="13" fillId="8" borderId="91" applyNumberFormat="1" applyFont="1" applyFill="1" applyBorder="1" applyAlignment="1" applyProtection="0">
      <alignment vertical="top" wrapText="1"/>
    </xf>
    <xf numFmtId="67" fontId="0" fillId="8" borderId="89" applyNumberFormat="1" applyFont="1" applyFill="1" applyBorder="1" applyAlignment="1" applyProtection="0">
      <alignment vertical="top" wrapText="1"/>
    </xf>
    <xf numFmtId="0" fontId="0" fillId="8" borderId="92" applyNumberFormat="0" applyFont="1" applyFill="1" applyBorder="1" applyAlignment="1" applyProtection="0">
      <alignment vertical="top" wrapText="1"/>
    </xf>
    <xf numFmtId="0" fontId="13" fillId="10" borderId="77" applyNumberFormat="1" applyFont="1" applyFill="1" applyBorder="1" applyAlignment="1" applyProtection="0">
      <alignment vertical="top" wrapText="1"/>
    </xf>
    <xf numFmtId="61" fontId="0" fillId="10" borderId="61" applyNumberFormat="1" applyFont="1" applyFill="1" applyBorder="1" applyAlignment="1" applyProtection="0">
      <alignment vertical="top" wrapText="1"/>
    </xf>
    <xf numFmtId="9" fontId="0" fillId="10" borderId="93" applyNumberFormat="1" applyFont="1" applyFill="1" applyBorder="1" applyAlignment="1" applyProtection="0">
      <alignment vertical="top" wrapText="1"/>
    </xf>
    <xf numFmtId="61" fontId="0" fillId="10" borderId="94" applyNumberFormat="1" applyFont="1" applyFill="1" applyBorder="1" applyAlignment="1" applyProtection="0">
      <alignment vertical="top" wrapText="1"/>
    </xf>
    <xf numFmtId="65" fontId="0" fillId="10" borderId="61" applyNumberFormat="1" applyFont="1" applyFill="1" applyBorder="1" applyAlignment="1" applyProtection="0">
      <alignment vertical="top" wrapText="1"/>
    </xf>
    <xf numFmtId="0" fontId="0" fillId="10" borderId="61" applyNumberFormat="1" applyFont="1" applyFill="1" applyBorder="1" applyAlignment="1" applyProtection="0">
      <alignment vertical="top" wrapText="1"/>
    </xf>
    <xf numFmtId="61" fontId="13" fillId="10" borderId="94" applyNumberFormat="1" applyFont="1" applyFill="1" applyBorder="1" applyAlignment="1" applyProtection="0">
      <alignment vertical="top" wrapText="1"/>
    </xf>
    <xf numFmtId="67" fontId="0" fillId="10" borderId="61" applyNumberFormat="1" applyFont="1" applyFill="1" applyBorder="1" applyAlignment="1" applyProtection="0">
      <alignment vertical="top" wrapText="1"/>
    </xf>
    <xf numFmtId="9" fontId="0" fillId="10" borderId="62" applyNumberFormat="1" applyFont="1" applyFill="1" applyBorder="1" applyAlignment="1" applyProtection="0">
      <alignment vertical="top" wrapText="1"/>
    </xf>
    <xf numFmtId="0" fontId="13" fillId="8" borderId="77" applyNumberFormat="1" applyFont="1" applyFill="1" applyBorder="1" applyAlignment="1" applyProtection="0">
      <alignment vertical="top" wrapText="1"/>
    </xf>
    <xf numFmtId="9" fontId="0" fillId="8" borderId="93" applyNumberFormat="1" applyFont="1" applyFill="1" applyBorder="1" applyAlignment="1" applyProtection="0">
      <alignment vertical="top" wrapText="1"/>
    </xf>
    <xf numFmtId="61" fontId="0" fillId="8" borderId="94" applyNumberFormat="1" applyFont="1" applyFill="1" applyBorder="1" applyAlignment="1" applyProtection="0">
      <alignment vertical="top" wrapText="1"/>
    </xf>
    <xf numFmtId="65" fontId="0" fillId="8" borderId="61" applyNumberFormat="1" applyFont="1" applyFill="1" applyBorder="1" applyAlignment="1" applyProtection="0">
      <alignment vertical="top" wrapText="1"/>
    </xf>
    <xf numFmtId="61" fontId="13" fillId="8" borderId="94" applyNumberFormat="1" applyFont="1" applyFill="1" applyBorder="1" applyAlignment="1" applyProtection="0">
      <alignment vertical="top" wrapText="1"/>
    </xf>
    <xf numFmtId="67" fontId="0" fillId="8" borderId="61" applyNumberFormat="1" applyFont="1" applyFill="1" applyBorder="1" applyAlignment="1" applyProtection="0">
      <alignment vertical="top" wrapText="1"/>
    </xf>
    <xf numFmtId="9" fontId="0" fillId="8" borderId="62" applyNumberFormat="1" applyFont="1" applyFill="1" applyBorder="1" applyAlignment="1" applyProtection="0">
      <alignment vertical="top" wrapText="1"/>
    </xf>
    <xf numFmtId="0" fontId="13" fillId="8" borderId="95" applyNumberFormat="1" applyFont="1" applyFill="1" applyBorder="1" applyAlignment="1" applyProtection="0">
      <alignment vertical="top" wrapText="1"/>
    </xf>
    <xf numFmtId="61" fontId="0" fillId="8" borderId="96" applyNumberFormat="1" applyFont="1" applyFill="1" applyBorder="1" applyAlignment="1" applyProtection="0">
      <alignment vertical="top" wrapText="1"/>
    </xf>
    <xf numFmtId="9" fontId="0" fillId="8" borderId="97" applyNumberFormat="1" applyFont="1" applyFill="1" applyBorder="1" applyAlignment="1" applyProtection="0">
      <alignment vertical="top" wrapText="1"/>
    </xf>
    <xf numFmtId="61" fontId="0" fillId="8" borderId="98" applyNumberFormat="1" applyFont="1" applyFill="1" applyBorder="1" applyAlignment="1" applyProtection="0">
      <alignment vertical="top" wrapText="1"/>
    </xf>
    <xf numFmtId="65" fontId="0" fillId="8" borderId="96" applyNumberFormat="1" applyFont="1" applyFill="1" applyBorder="1" applyAlignment="1" applyProtection="0">
      <alignment vertical="top" wrapText="1"/>
    </xf>
    <xf numFmtId="0" fontId="0" fillId="8" borderId="96" applyNumberFormat="1" applyFont="1" applyFill="1" applyBorder="1" applyAlignment="1" applyProtection="0">
      <alignment vertical="top" wrapText="1"/>
    </xf>
    <xf numFmtId="61" fontId="13" fillId="8" borderId="98" applyNumberFormat="1" applyFont="1" applyFill="1" applyBorder="1" applyAlignment="1" applyProtection="0">
      <alignment vertical="top" wrapText="1"/>
    </xf>
    <xf numFmtId="9" fontId="0" fillId="8" borderId="99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bottom"/>
    </xf>
    <xf numFmtId="0" fontId="0" fillId="11" borderId="100" applyNumberFormat="0" applyFont="1" applyFill="1" applyBorder="1" applyAlignment="1" applyProtection="0">
      <alignment vertical="bottom"/>
    </xf>
    <xf numFmtId="49" fontId="0" fillId="11" borderId="100" applyNumberFormat="1" applyFont="1" applyFill="1" applyBorder="1" applyAlignment="1" applyProtection="0">
      <alignment vertical="bottom"/>
    </xf>
    <xf numFmtId="0" fontId="0" fillId="12" borderId="101" applyNumberFormat="0" applyFont="1" applyFill="1" applyBorder="1" applyAlignment="1" applyProtection="0">
      <alignment vertical="bottom"/>
    </xf>
    <xf numFmtId="0" fontId="0" borderId="102" applyNumberFormat="0" applyFont="1" applyFill="0" applyBorder="1" applyAlignment="1" applyProtection="0">
      <alignment vertical="bottom"/>
    </xf>
    <xf numFmtId="0" fontId="0" borderId="103" applyNumberFormat="0" applyFont="1" applyFill="0" applyBorder="1" applyAlignment="1" applyProtection="0">
      <alignment vertical="bottom"/>
    </xf>
    <xf numFmtId="0" fontId="0" fillId="12" borderId="104" applyNumberFormat="0" applyFont="1" applyFill="1" applyBorder="1" applyAlignment="1" applyProtection="0">
      <alignment vertical="bottom"/>
    </xf>
    <xf numFmtId="0" fontId="0" borderId="105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bottom"/>
    </xf>
    <xf numFmtId="1" fontId="0" fillId="8" borderId="89" applyNumberFormat="1" applyFont="1" applyFill="1" applyBorder="1" applyAlignment="1" applyProtection="0">
      <alignment vertical="top" wrapText="1"/>
    </xf>
    <xf numFmtId="1" fontId="0" fillId="10" borderId="61" applyNumberFormat="1" applyFont="1" applyFill="1" applyBorder="1" applyAlignment="1" applyProtection="0">
      <alignment vertical="top" wrapText="1"/>
    </xf>
    <xf numFmtId="1" fontId="0" fillId="8" borderId="61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5" applyNumberFormat="1" applyFont="1" applyFill="0" applyBorder="0" applyAlignment="1" applyProtection="0">
      <alignment vertical="top" wrapText="1"/>
    </xf>
    <xf numFmtId="0" fontId="14" applyNumberFormat="0" applyFont="1" applyFill="0" applyBorder="0" applyAlignment="1" applyProtection="0">
      <alignment horizontal="center" vertical="center"/>
    </xf>
    <xf numFmtId="0" fontId="5" fillId="2" borderId="106" applyNumberFormat="0" applyFont="1" applyFill="1" applyBorder="1" applyAlignment="1" applyProtection="0">
      <alignment vertical="top" wrapText="1"/>
    </xf>
    <xf numFmtId="49" fontId="5" fillId="2" borderId="21" applyNumberFormat="1" applyFont="1" applyFill="1" applyBorder="1" applyAlignment="1" applyProtection="0">
      <alignment vertical="top" wrapText="1"/>
    </xf>
    <xf numFmtId="49" fontId="5" fillId="2" borderId="25" applyNumberFormat="1" applyFont="1" applyFill="1" applyBorder="1" applyAlignment="1" applyProtection="0">
      <alignment vertical="top" wrapText="1"/>
    </xf>
    <xf numFmtId="4" fontId="5" fillId="3" borderId="25" applyNumberFormat="1" applyFont="1" applyFill="1" applyBorder="1" applyAlignment="1" applyProtection="0">
      <alignment horizontal="center" vertical="top" wrapText="1"/>
    </xf>
    <xf numFmtId="63" fontId="5" fillId="3" borderId="25" applyNumberFormat="1" applyFont="1" applyFill="1" applyBorder="1" applyAlignment="1" applyProtection="0">
      <alignment horizontal="center" vertical="top" wrapText="1"/>
    </xf>
    <xf numFmtId="2" fontId="5" fillId="3" borderId="25" applyNumberFormat="1" applyFont="1" applyFill="1" applyBorder="1" applyAlignment="1" applyProtection="0">
      <alignment horizontal="center" vertical="top" wrapText="1"/>
    </xf>
    <xf numFmtId="49" fontId="5" fillId="2" borderId="29" applyNumberFormat="1" applyFont="1" applyFill="1" applyBorder="1" applyAlignment="1" applyProtection="0">
      <alignment vertical="top" wrapText="1"/>
    </xf>
    <xf numFmtId="4" fontId="5" fillId="4" borderId="29" applyNumberFormat="1" applyFont="1" applyFill="1" applyBorder="1" applyAlignment="1" applyProtection="0">
      <alignment horizontal="center" vertical="top" wrapText="1"/>
    </xf>
    <xf numFmtId="63" fontId="5" fillId="4" borderId="29" applyNumberFormat="1" applyFont="1" applyFill="1" applyBorder="1" applyAlignment="1" applyProtection="0">
      <alignment horizontal="center" vertical="top" wrapText="1"/>
    </xf>
    <xf numFmtId="2" fontId="5" fillId="4" borderId="29" applyNumberFormat="1" applyFont="1" applyFill="1" applyBorder="1" applyAlignment="1" applyProtection="0">
      <alignment horizontal="center" vertical="top" wrapText="1"/>
    </xf>
    <xf numFmtId="4" fontId="5" fillId="3" borderId="29" applyNumberFormat="1" applyFont="1" applyFill="1" applyBorder="1" applyAlignment="1" applyProtection="0">
      <alignment horizontal="center" vertical="top" wrapText="1"/>
    </xf>
    <xf numFmtId="63" fontId="5" fillId="3" borderId="29" applyNumberFormat="1" applyFont="1" applyFill="1" applyBorder="1" applyAlignment="1" applyProtection="0">
      <alignment horizontal="center" vertical="top" wrapText="1"/>
    </xf>
    <xf numFmtId="2" fontId="5" fillId="3" borderId="29" applyNumberFormat="1" applyFont="1" applyFill="1" applyBorder="1" applyAlignment="1" applyProtection="0">
      <alignment horizontal="center" vertical="top" wrapText="1"/>
    </xf>
    <xf numFmtId="49" fontId="5" fillId="2" borderId="33" applyNumberFormat="1" applyFont="1" applyFill="1" applyBorder="1" applyAlignment="1" applyProtection="0">
      <alignment vertical="top" wrapText="1"/>
    </xf>
    <xf numFmtId="4" fontId="5" fillId="4" borderId="33" applyNumberFormat="1" applyFont="1" applyFill="1" applyBorder="1" applyAlignment="1" applyProtection="0">
      <alignment horizontal="center" vertical="top" wrapText="1"/>
    </xf>
    <xf numFmtId="63" fontId="5" fillId="4" borderId="33" applyNumberFormat="1" applyFont="1" applyFill="1" applyBorder="1" applyAlignment="1" applyProtection="0">
      <alignment horizontal="center" vertical="top" wrapText="1"/>
    </xf>
    <xf numFmtId="2" fontId="5" fillId="4" borderId="33" applyNumberFormat="1" applyFont="1" applyFill="1" applyBorder="1" applyAlignment="1" applyProtection="0">
      <alignment horizontal="center" vertical="top" wrapText="1"/>
    </xf>
    <xf numFmtId="0" fontId="5" fillId="2" borderId="37" applyNumberFormat="1" applyFont="1" applyFill="1" applyBorder="1" applyAlignment="1" applyProtection="0">
      <alignment vertical="top" wrapText="1"/>
    </xf>
    <xf numFmtId="4" fontId="5" fillId="3" borderId="37" applyNumberFormat="1" applyFont="1" applyFill="1" applyBorder="1" applyAlignment="1" applyProtection="0">
      <alignment horizontal="center" vertical="top" wrapText="1"/>
    </xf>
    <xf numFmtId="63" fontId="5" fillId="3" borderId="37" applyNumberFormat="1" applyFont="1" applyFill="1" applyBorder="1" applyAlignment="1" applyProtection="0">
      <alignment horizontal="center" vertical="top" wrapText="1"/>
    </xf>
    <xf numFmtId="2" fontId="5" fillId="3" borderId="37" applyNumberFormat="1" applyFont="1" applyFill="1" applyBorder="1" applyAlignment="1" applyProtection="0">
      <alignment horizontal="center" vertical="top" wrapText="1"/>
    </xf>
    <xf numFmtId="0" fontId="5" applyNumberFormat="1" applyFont="1" applyFill="0" applyBorder="0" applyAlignment="1" applyProtection="0">
      <alignment vertical="top" wrapText="1"/>
    </xf>
    <xf numFmtId="4" fontId="5" fillId="3" borderId="33" applyNumberFormat="1" applyFont="1" applyFill="1" applyBorder="1" applyAlignment="1" applyProtection="0">
      <alignment horizontal="center" vertical="top" wrapText="1"/>
    </xf>
    <xf numFmtId="63" fontId="5" fillId="3" borderId="33" applyNumberFormat="1" applyFont="1" applyFill="1" applyBorder="1" applyAlignment="1" applyProtection="0">
      <alignment horizontal="center" vertical="top" wrapText="1"/>
    </xf>
    <xf numFmtId="4" fontId="5" fillId="4" borderId="37" applyNumberFormat="1" applyFont="1" applyFill="1" applyBorder="1" applyAlignment="1" applyProtection="0">
      <alignment horizontal="center" vertical="top" wrapText="1"/>
    </xf>
    <xf numFmtId="63" fontId="5" fillId="4" borderId="37" applyNumberFormat="1" applyFont="1" applyFill="1" applyBorder="1" applyAlignment="1" applyProtection="0">
      <alignment horizontal="center" vertical="top" wrapText="1"/>
    </xf>
    <xf numFmtId="0" fontId="5" applyNumberFormat="1" applyFont="1" applyFill="0" applyBorder="0" applyAlignment="1" applyProtection="0">
      <alignment vertical="top" wrapText="1"/>
    </xf>
    <xf numFmtId="61" fontId="5" fillId="3" borderId="37" applyNumberFormat="1" applyFont="1" applyFill="1" applyBorder="1" applyAlignment="1" applyProtection="0">
      <alignment horizontal="center" vertical="top" wrapText="1"/>
    </xf>
    <xf numFmtId="0" fontId="5" applyNumberFormat="1" applyFont="1" applyFill="0" applyBorder="0" applyAlignment="1" applyProtection="0">
      <alignment vertical="top" wrapText="1"/>
    </xf>
    <xf numFmtId="0" fontId="15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0" fontId="16" fillId="11" borderId="100" applyNumberFormat="0" applyFont="1" applyFill="1" applyBorder="1" applyAlignment="1" applyProtection="0">
      <alignment vertical="top" wrapText="1"/>
    </xf>
    <xf numFmtId="49" fontId="16" fillId="12" borderId="101" applyNumberFormat="1" applyFont="1" applyFill="1" applyBorder="1" applyAlignment="1" applyProtection="0">
      <alignment vertical="top" wrapText="1"/>
    </xf>
    <xf numFmtId="49" fontId="15" borderId="102" applyNumberFormat="1" applyFont="1" applyFill="0" applyBorder="1" applyAlignment="1" applyProtection="0">
      <alignment vertical="top" wrapText="1"/>
    </xf>
    <xf numFmtId="49" fontId="15" borderId="103" applyNumberFormat="1" applyFont="1" applyFill="0" applyBorder="1" applyAlignment="1" applyProtection="0">
      <alignment vertical="top" wrapText="1"/>
    </xf>
    <xf numFmtId="0" fontId="15" borderId="103" applyNumberFormat="0" applyFont="1" applyFill="0" applyBorder="1" applyAlignment="1" applyProtection="0">
      <alignment vertical="top" wrapText="1"/>
    </xf>
    <xf numFmtId="49" fontId="16" fillId="12" borderId="104" applyNumberFormat="1" applyFont="1" applyFill="1" applyBorder="1" applyAlignment="1" applyProtection="0">
      <alignment vertical="top" wrapText="1"/>
    </xf>
    <xf numFmtId="49" fontId="15" borderId="105" applyNumberFormat="1" applyFont="1" applyFill="0" applyBorder="1" applyAlignment="1" applyProtection="0">
      <alignment vertical="top" wrapText="1"/>
    </xf>
    <xf numFmtId="49" fontId="15" borderId="9" applyNumberFormat="1" applyFont="1" applyFill="0" applyBorder="1" applyAlignment="1" applyProtection="0">
      <alignment vertical="top" wrapText="1"/>
    </xf>
    <xf numFmtId="0" fontId="15" borderId="9" applyNumberFormat="0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a5a5a5"/>
      <rgbColor rgb="ff9cc7d9"/>
      <rgbColor rgb="ff3f6797"/>
      <rgbColor rgb="ff6f8db1"/>
      <rgbColor rgb="ffffffff"/>
      <rgbColor rgb="fff7fcff"/>
      <rgbColor rgb="ff9bbb59"/>
      <rgbColor rgb="ffcadde2"/>
      <rgbColor rgb="ff4f81bd"/>
      <rgbColor rgb="ffeaf3ff"/>
      <rgbColor rgb="ffced7e7"/>
      <rgbColor rgb="ffa7c0de"/>
      <rgbColor rgb="ffbdc0bf"/>
      <rgbColor rgb="ff3f3f3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O1504"/>
  <sheetViews>
    <sheetView workbookViewId="0" showGridLines="0" defaultGridColor="1"/>
  </sheetViews>
  <sheetFormatPr defaultColWidth="10.8333" defaultRowHeight="15" customHeight="1" outlineLevelRow="0" outlineLevelCol="0"/>
  <cols>
    <col min="1" max="1" width="7.5" style="1" customWidth="1"/>
    <col min="2" max="2" width="14.6719" style="1" customWidth="1"/>
    <col min="3" max="3" width="22" style="1" customWidth="1"/>
    <col min="4" max="4" width="18" style="1" customWidth="1"/>
    <col min="5" max="5" width="13" style="1" customWidth="1"/>
    <col min="6" max="6" width="12" style="1" customWidth="1"/>
    <col min="7" max="11" width="13" style="1" customWidth="1"/>
    <col min="12" max="15" width="16.3516" style="32" customWidth="1"/>
    <col min="16" max="256" width="10.8516" style="32" customWidth="1"/>
  </cols>
  <sheetData>
    <row r="1" ht="24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7" customHeight="1">
      <c r="A2" t="s" s="3">
        <v>1</v>
      </c>
      <c r="B2" t="s" s="3">
        <v>2</v>
      </c>
      <c r="C2" t="s" s="3">
        <v>3</v>
      </c>
      <c r="D2" t="s" s="3">
        <v>4</v>
      </c>
      <c r="E2" t="s" s="3">
        <v>5</v>
      </c>
      <c r="F2" t="s" s="3">
        <v>6</v>
      </c>
      <c r="G2" t="s" s="3">
        <v>7</v>
      </c>
      <c r="H2" t="s" s="3">
        <v>8</v>
      </c>
      <c r="I2" t="s" s="3">
        <v>9</v>
      </c>
      <c r="J2" t="s" s="3">
        <v>8</v>
      </c>
      <c r="K2" t="s" s="3">
        <v>9</v>
      </c>
    </row>
    <row r="3" ht="17" customHeight="1">
      <c r="A3" s="4">
        <v>1</v>
      </c>
      <c r="B3" s="5">
        <v>40459</v>
      </c>
      <c r="C3" t="s" s="3">
        <v>10</v>
      </c>
      <c r="D3" s="3"/>
      <c r="E3" s="6">
        <v>1125000</v>
      </c>
      <c r="F3" s="6">
        <v>213750</v>
      </c>
      <c r="G3" s="6">
        <v>1338750</v>
      </c>
      <c r="H3" s="7">
        <f>IF(J3=TRUE(),E3,0)</f>
        <v>0</v>
      </c>
      <c r="I3" s="7">
        <f>IF(K3=TRUE(),E3,0)</f>
        <v>0</v>
      </c>
      <c r="J3" t="b" s="4">
        <v>0</v>
      </c>
      <c r="K3" t="b" s="4">
        <v>0</v>
      </c>
    </row>
    <row r="4" ht="17" customHeight="1">
      <c r="A4" s="4">
        <v>2</v>
      </c>
      <c r="B4" s="5"/>
      <c r="C4" t="s" s="3">
        <v>11</v>
      </c>
      <c r="D4" s="3"/>
      <c r="E4" s="8"/>
      <c r="F4" s="8"/>
      <c r="G4" s="8"/>
      <c r="H4" s="7">
        <f>IF(J4=TRUE(),E4,0)</f>
        <v>0</v>
      </c>
      <c r="I4" s="7">
        <f>IF(K4=TRUE(),E4,0)</f>
        <v>0</v>
      </c>
      <c r="J4" t="b" s="4">
        <v>0</v>
      </c>
      <c r="K4" t="b" s="4">
        <v>0</v>
      </c>
    </row>
    <row r="5" ht="17" customHeight="1">
      <c r="A5" s="4">
        <v>3</v>
      </c>
      <c r="B5" s="5">
        <v>40476</v>
      </c>
      <c r="C5" t="s" s="3">
        <v>12</v>
      </c>
      <c r="D5" s="3"/>
      <c r="E5" s="6">
        <v>528109</v>
      </c>
      <c r="F5" s="6">
        <v>100341</v>
      </c>
      <c r="G5" s="6">
        <v>628450</v>
      </c>
      <c r="H5" s="7">
        <f>IF(J5=TRUE(),E5,0)</f>
        <v>0</v>
      </c>
      <c r="I5" s="7">
        <f>IF(K5=TRUE(),E5,0)</f>
        <v>0</v>
      </c>
      <c r="J5" t="b" s="4">
        <v>0</v>
      </c>
      <c r="K5" t="b" s="4">
        <v>0</v>
      </c>
    </row>
    <row r="6" ht="17" customHeight="1">
      <c r="A6" s="4">
        <v>4</v>
      </c>
      <c r="B6" s="5">
        <v>40476</v>
      </c>
      <c r="C6" t="s" s="3">
        <v>10</v>
      </c>
      <c r="D6" s="3"/>
      <c r="E6" s="6">
        <v>393500</v>
      </c>
      <c r="F6" s="6">
        <v>74765</v>
      </c>
      <c r="G6" s="6">
        <v>468265</v>
      </c>
      <c r="H6" s="7">
        <f>IF(J6=TRUE(),E6,0)</f>
        <v>0</v>
      </c>
      <c r="I6" s="7">
        <f>IF(K6=TRUE(),E6,0)</f>
        <v>0</v>
      </c>
      <c r="J6" t="b" s="4">
        <v>0</v>
      </c>
      <c r="K6" t="b" s="4">
        <v>0</v>
      </c>
    </row>
    <row r="7" ht="17.5" customHeight="1">
      <c r="A7" s="9">
        <v>5</v>
      </c>
      <c r="B7" s="5">
        <v>40476</v>
      </c>
      <c r="C7" t="s" s="10">
        <v>10</v>
      </c>
      <c r="D7" s="10"/>
      <c r="E7" s="11">
        <v>525000</v>
      </c>
      <c r="F7" s="11">
        <v>99750</v>
      </c>
      <c r="G7" s="11">
        <v>624750</v>
      </c>
      <c r="H7" s="12">
        <f>IF(J7=TRUE(),E7,0)</f>
        <v>0</v>
      </c>
      <c r="I7" s="12">
        <f>IF(K7=TRUE(),E7,0)</f>
        <v>0</v>
      </c>
      <c r="J7" t="b" s="9">
        <v>0</v>
      </c>
      <c r="K7" t="b" s="9">
        <v>0</v>
      </c>
    </row>
    <row r="8" ht="18" customHeight="1">
      <c r="A8" s="13">
        <f>COUNT(A3:A7)</f>
        <v>5</v>
      </c>
      <c r="B8" t="s" s="3">
        <v>13</v>
      </c>
      <c r="C8" t="s" s="14">
        <v>7</v>
      </c>
      <c r="D8" s="14"/>
      <c r="E8" s="15">
        <f>SUM(E3:E7)</f>
        <v>2571609</v>
      </c>
      <c r="F8" s="15">
        <f>SUM(F3:F7)</f>
        <v>488606</v>
      </c>
      <c r="G8" s="16">
        <f>SUM(G3:G7)</f>
        <v>3060215</v>
      </c>
      <c r="H8" s="17">
        <f>SUM(H3:H7)</f>
        <v>0</v>
      </c>
      <c r="I8" s="17"/>
      <c r="J8" s="18">
        <f>COUNTIF(J3:J7,TRUE())</f>
        <v>0</v>
      </c>
      <c r="K8" s="19"/>
    </row>
    <row r="9" ht="17.5" customHeight="1">
      <c r="A9" s="20"/>
      <c r="B9" s="5"/>
      <c r="C9" s="20"/>
      <c r="D9" s="21"/>
      <c r="E9" s="20"/>
      <c r="F9" s="20"/>
      <c r="G9" s="20"/>
      <c r="H9" s="22"/>
      <c r="I9" s="22"/>
      <c r="J9" s="20"/>
      <c r="K9" s="20"/>
    </row>
    <row r="10" ht="17" customHeight="1">
      <c r="A10" t="s" s="3">
        <v>1</v>
      </c>
      <c r="B10" t="s" s="3">
        <v>2</v>
      </c>
      <c r="C10" t="s" s="3">
        <v>3</v>
      </c>
      <c r="D10" t="s" s="3">
        <v>4</v>
      </c>
      <c r="E10" t="s" s="3">
        <v>5</v>
      </c>
      <c r="F10" t="s" s="3">
        <v>6</v>
      </c>
      <c r="G10" t="s" s="3">
        <v>7</v>
      </c>
      <c r="H10" s="7"/>
      <c r="I10" s="7"/>
      <c r="J10" s="8"/>
      <c r="K10" s="8"/>
    </row>
    <row r="11" ht="17" customHeight="1">
      <c r="A11" s="4">
        <v>6</v>
      </c>
      <c r="B11" s="5">
        <v>40486</v>
      </c>
      <c r="C11" t="s" s="3">
        <v>10</v>
      </c>
      <c r="D11" s="3"/>
      <c r="E11" s="6">
        <v>260540</v>
      </c>
      <c r="F11" s="6">
        <v>49503</v>
      </c>
      <c r="G11" s="6">
        <v>310043</v>
      </c>
      <c r="H11" s="7">
        <f>IF(J11=TRUE(),E11,0)</f>
        <v>0</v>
      </c>
      <c r="I11" s="7">
        <f>IF(K11=TRUE(),E11,0)</f>
        <v>0</v>
      </c>
      <c r="J11" t="b" s="4">
        <v>0</v>
      </c>
      <c r="K11" t="b" s="4">
        <v>0</v>
      </c>
    </row>
    <row r="12" ht="17" customHeight="1">
      <c r="A12" s="4">
        <v>7</v>
      </c>
      <c r="B12" s="5">
        <v>40500</v>
      </c>
      <c r="C12" t="s" s="3">
        <v>14</v>
      </c>
      <c r="D12" s="3"/>
      <c r="E12" s="6">
        <v>84200</v>
      </c>
      <c r="F12" s="6">
        <v>15998</v>
      </c>
      <c r="G12" s="6">
        <v>100198</v>
      </c>
      <c r="H12" s="7">
        <f>IF(J12=TRUE(),E12,0)</f>
        <v>0</v>
      </c>
      <c r="I12" s="7">
        <f>IF(K12=TRUE(),E12,0)</f>
        <v>0</v>
      </c>
      <c r="J12" t="b" s="4">
        <v>0</v>
      </c>
      <c r="K12" t="b" s="4">
        <v>0</v>
      </c>
    </row>
    <row r="13" ht="17" customHeight="1">
      <c r="A13" s="4">
        <v>8</v>
      </c>
      <c r="B13" s="5">
        <v>40501</v>
      </c>
      <c r="C13" t="s" s="3">
        <v>15</v>
      </c>
      <c r="D13" s="3"/>
      <c r="E13" s="6">
        <v>106990</v>
      </c>
      <c r="F13" s="6">
        <v>20328</v>
      </c>
      <c r="G13" s="6">
        <v>127318</v>
      </c>
      <c r="H13" s="7">
        <f>IF(J13=TRUE(),E13,0)</f>
        <v>0</v>
      </c>
      <c r="I13" s="7">
        <f>IF(K13=TRUE(),E13,0)</f>
        <v>0</v>
      </c>
      <c r="J13" t="b" s="4">
        <v>0</v>
      </c>
      <c r="K13" t="b" s="4">
        <v>0</v>
      </c>
    </row>
    <row r="14" ht="17.5" customHeight="1">
      <c r="A14" s="9">
        <v>10</v>
      </c>
      <c r="B14" s="5">
        <v>40512</v>
      </c>
      <c r="C14" t="s" s="10">
        <v>16</v>
      </c>
      <c r="D14" s="10"/>
      <c r="E14" s="11">
        <v>1430565</v>
      </c>
      <c r="F14" s="11">
        <v>271807</v>
      </c>
      <c r="G14" s="11">
        <v>1702372</v>
      </c>
      <c r="H14" s="12">
        <f>IF(J14=TRUE(),E14,0)</f>
        <v>0</v>
      </c>
      <c r="I14" s="12">
        <f>IF(K14=TRUE(),E14,0)</f>
        <v>0</v>
      </c>
      <c r="J14" t="b" s="9">
        <v>0</v>
      </c>
      <c r="K14" t="b" s="9">
        <v>0</v>
      </c>
    </row>
    <row r="15" ht="18" customHeight="1">
      <c r="A15" s="13">
        <f>COUNT(A11:A14)</f>
        <v>4</v>
      </c>
      <c r="B15" t="s" s="3">
        <v>17</v>
      </c>
      <c r="C15" t="s" s="14">
        <v>7</v>
      </c>
      <c r="D15" s="14"/>
      <c r="E15" s="15">
        <f>SUM(E11:E14)</f>
        <v>1882295</v>
      </c>
      <c r="F15" s="15">
        <f>SUM(F11:F14)</f>
        <v>357636</v>
      </c>
      <c r="G15" s="16">
        <f>SUM(G11:G14)</f>
        <v>2239931</v>
      </c>
      <c r="H15" s="17">
        <f>SUM(H11:H14)</f>
        <v>0</v>
      </c>
      <c r="I15" s="17"/>
      <c r="J15" s="18">
        <f>COUNTIF(J11:J14,TRUE())</f>
        <v>0</v>
      </c>
      <c r="K15" s="19"/>
    </row>
    <row r="16" ht="17.5" customHeight="1">
      <c r="A16" s="20"/>
      <c r="B16" s="5"/>
      <c r="C16" s="20"/>
      <c r="D16" s="21"/>
      <c r="E16" s="20"/>
      <c r="F16" s="20"/>
      <c r="G16" s="20"/>
      <c r="H16" s="22"/>
      <c r="I16" s="22"/>
      <c r="J16" s="20"/>
      <c r="K16" s="20"/>
    </row>
    <row r="17" ht="17" customHeight="1">
      <c r="A17" t="s" s="3">
        <v>1</v>
      </c>
      <c r="B17" t="s" s="3">
        <v>2</v>
      </c>
      <c r="C17" t="s" s="3">
        <v>3</v>
      </c>
      <c r="D17" t="s" s="3">
        <v>4</v>
      </c>
      <c r="E17" t="s" s="3">
        <v>5</v>
      </c>
      <c r="F17" t="s" s="3">
        <v>6</v>
      </c>
      <c r="G17" t="s" s="3">
        <v>7</v>
      </c>
      <c r="H17" s="7"/>
      <c r="I17" s="7"/>
      <c r="J17" s="8"/>
      <c r="K17" s="8"/>
    </row>
    <row r="18" ht="17" customHeight="1">
      <c r="A18" s="4">
        <v>9</v>
      </c>
      <c r="B18" s="5">
        <v>40514</v>
      </c>
      <c r="C18" t="s" s="3">
        <v>18</v>
      </c>
      <c r="D18" s="3"/>
      <c r="E18" s="6">
        <v>0</v>
      </c>
      <c r="F18" s="6">
        <v>0</v>
      </c>
      <c r="G18" s="6">
        <v>0</v>
      </c>
      <c r="H18" s="7">
        <f>IF(J18=TRUE(),E18,0)</f>
        <v>0</v>
      </c>
      <c r="I18" s="7">
        <f>IF(K18=TRUE(),E18,0)</f>
        <v>0</v>
      </c>
      <c r="J18" t="b" s="4">
        <v>0</v>
      </c>
      <c r="K18" t="b" s="4">
        <v>0</v>
      </c>
    </row>
    <row r="19" ht="17" customHeight="1">
      <c r="A19" s="4">
        <v>11</v>
      </c>
      <c r="B19" s="5">
        <v>40519</v>
      </c>
      <c r="C19" t="s" s="3">
        <v>19</v>
      </c>
      <c r="D19" t="s" s="3">
        <v>20</v>
      </c>
      <c r="E19" s="6">
        <v>625000</v>
      </c>
      <c r="F19" s="6">
        <v>118750</v>
      </c>
      <c r="G19" s="6">
        <v>743750</v>
      </c>
      <c r="H19" s="7">
        <f>IF(J19=TRUE(),E19,0)</f>
        <v>0</v>
      </c>
      <c r="I19" s="7">
        <f>IF(K19=TRUE(),E19,0)</f>
        <v>0</v>
      </c>
      <c r="J19" t="b" s="4">
        <v>0</v>
      </c>
      <c r="K19" t="b" s="4">
        <v>0</v>
      </c>
    </row>
    <row r="20" ht="17" customHeight="1">
      <c r="A20" s="4">
        <v>12</v>
      </c>
      <c r="B20" s="5">
        <v>40522</v>
      </c>
      <c r="C20" t="s" s="3">
        <v>10</v>
      </c>
      <c r="D20" s="3"/>
      <c r="E20" s="6">
        <v>452000</v>
      </c>
      <c r="F20" s="6">
        <v>85880</v>
      </c>
      <c r="G20" s="6">
        <v>537880</v>
      </c>
      <c r="H20" s="7">
        <f>IF(J20=TRUE(),E20,0)</f>
        <v>0</v>
      </c>
      <c r="I20" s="7">
        <f>IF(K20=TRUE(),E20,0)</f>
        <v>0</v>
      </c>
      <c r="J20" t="b" s="4">
        <v>0</v>
      </c>
      <c r="K20" t="b" s="4">
        <v>0</v>
      </c>
    </row>
    <row r="21" ht="17" customHeight="1">
      <c r="A21" s="4">
        <v>13</v>
      </c>
      <c r="B21" s="5">
        <v>40522</v>
      </c>
      <c r="C21" t="s" s="3">
        <v>19</v>
      </c>
      <c r="D21" t="s" s="3">
        <v>21</v>
      </c>
      <c r="E21" s="6">
        <v>875000</v>
      </c>
      <c r="F21" s="6">
        <v>166250</v>
      </c>
      <c r="G21" s="6">
        <v>1041250</v>
      </c>
      <c r="H21" s="7">
        <f>IF(J21=TRUE(),E21,0)</f>
        <v>0</v>
      </c>
      <c r="I21" s="7">
        <f>IF(K21=TRUE(),E21,0)</f>
        <v>0</v>
      </c>
      <c r="J21" t="b" s="4">
        <v>0</v>
      </c>
      <c r="K21" t="b" s="4">
        <v>0</v>
      </c>
    </row>
    <row r="22" ht="17" customHeight="1">
      <c r="A22" s="4">
        <v>14</v>
      </c>
      <c r="B22" s="5">
        <v>40522</v>
      </c>
      <c r="C22" t="s" s="3">
        <v>22</v>
      </c>
      <c r="D22" t="s" s="3">
        <v>23</v>
      </c>
      <c r="E22" s="6">
        <v>149100</v>
      </c>
      <c r="F22" s="6">
        <v>28329</v>
      </c>
      <c r="G22" s="6">
        <v>177429</v>
      </c>
      <c r="H22" s="7">
        <f>IF(J22=TRUE(),E22,0)</f>
        <v>149100</v>
      </c>
      <c r="I22" s="7">
        <f>IF(K22=TRUE(),E22,0)</f>
        <v>0</v>
      </c>
      <c r="J22" t="b" s="4">
        <v>1</v>
      </c>
      <c r="K22" t="b" s="4">
        <v>0</v>
      </c>
    </row>
    <row r="23" ht="17" customHeight="1">
      <c r="A23" s="4">
        <v>15</v>
      </c>
      <c r="B23" s="5">
        <v>40522</v>
      </c>
      <c r="C23" t="s" s="3">
        <v>22</v>
      </c>
      <c r="D23" t="s" s="3">
        <v>24</v>
      </c>
      <c r="E23" s="6">
        <v>142500</v>
      </c>
      <c r="F23" s="6">
        <v>27075</v>
      </c>
      <c r="G23" s="6">
        <v>169575</v>
      </c>
      <c r="H23" s="7">
        <f>IF(J23=TRUE(),E23,0)</f>
        <v>0</v>
      </c>
      <c r="I23" s="7">
        <f>IF(K23=TRUE(),E23,0)</f>
        <v>0</v>
      </c>
      <c r="J23" t="b" s="4">
        <v>0</v>
      </c>
      <c r="K23" t="b" s="4">
        <v>0</v>
      </c>
    </row>
    <row r="24" ht="17" customHeight="1">
      <c r="A24" s="4">
        <v>16</v>
      </c>
      <c r="B24" s="5">
        <v>40532</v>
      </c>
      <c r="C24" t="s" s="3">
        <v>25</v>
      </c>
      <c r="D24" t="s" s="3">
        <v>23</v>
      </c>
      <c r="E24" s="6">
        <v>157500</v>
      </c>
      <c r="F24" s="6">
        <v>29925</v>
      </c>
      <c r="G24" s="6">
        <v>187425</v>
      </c>
      <c r="H24" s="7">
        <f>IF(J24=TRUE(),E24,0)</f>
        <v>157500</v>
      </c>
      <c r="I24" s="7">
        <f>IF(K24=TRUE(),E24,0)</f>
        <v>0</v>
      </c>
      <c r="J24" t="b" s="4">
        <v>1</v>
      </c>
      <c r="K24" t="b" s="4">
        <v>0</v>
      </c>
    </row>
    <row r="25" ht="17" customHeight="1">
      <c r="A25" s="4">
        <v>17</v>
      </c>
      <c r="B25" s="5">
        <v>40532</v>
      </c>
      <c r="C25" t="s" s="3">
        <v>10</v>
      </c>
      <c r="D25" s="3"/>
      <c r="E25" s="6">
        <v>45000</v>
      </c>
      <c r="F25" s="6">
        <v>8550</v>
      </c>
      <c r="G25" s="6">
        <v>53550</v>
      </c>
      <c r="H25" s="7">
        <f>IF(J25=TRUE(),E25,0)</f>
        <v>0</v>
      </c>
      <c r="I25" s="7">
        <f>IF(K25=TRUE(),E25,0)</f>
        <v>0</v>
      </c>
      <c r="J25" t="b" s="4">
        <v>0</v>
      </c>
      <c r="K25" t="b" s="4">
        <v>0</v>
      </c>
    </row>
    <row r="26" ht="17" customHeight="1">
      <c r="A26" s="4">
        <v>18</v>
      </c>
      <c r="B26" s="5">
        <v>40533</v>
      </c>
      <c r="C26" t="s" s="3">
        <v>26</v>
      </c>
      <c r="D26" s="3"/>
      <c r="E26" s="6">
        <v>122000</v>
      </c>
      <c r="F26" s="6">
        <v>23180</v>
      </c>
      <c r="G26" s="6">
        <v>145180</v>
      </c>
      <c r="H26" s="7">
        <f>IF(J26=TRUE(),E26,0)</f>
        <v>0</v>
      </c>
      <c r="I26" s="7">
        <f>IF(K26=TRUE(),E26,0)</f>
        <v>0</v>
      </c>
      <c r="J26" t="b" s="4">
        <v>0</v>
      </c>
      <c r="K26" t="b" s="4">
        <v>0</v>
      </c>
    </row>
    <row r="27" ht="17" customHeight="1">
      <c r="A27" s="4">
        <v>19</v>
      </c>
      <c r="B27" s="5">
        <v>40542</v>
      </c>
      <c r="C27" t="s" s="3">
        <v>19</v>
      </c>
      <c r="D27" t="s" s="3">
        <v>27</v>
      </c>
      <c r="E27" s="6">
        <v>680580</v>
      </c>
      <c r="F27" s="6">
        <v>129310</v>
      </c>
      <c r="G27" s="6">
        <v>809890</v>
      </c>
      <c r="H27" s="7">
        <f>IF(J27=TRUE(),E27,0)</f>
        <v>0</v>
      </c>
      <c r="I27" s="7">
        <f>IF(K27=TRUE(),E27,0)</f>
        <v>0</v>
      </c>
      <c r="J27" t="b" s="4">
        <v>0</v>
      </c>
      <c r="K27" t="b" s="4">
        <v>0</v>
      </c>
    </row>
    <row r="28" ht="17.5" customHeight="1">
      <c r="A28" s="9">
        <v>20</v>
      </c>
      <c r="B28" s="5">
        <v>40542</v>
      </c>
      <c r="C28" t="s" s="10">
        <v>19</v>
      </c>
      <c r="D28" t="s" s="10">
        <v>23</v>
      </c>
      <c r="E28" s="11">
        <v>172083</v>
      </c>
      <c r="F28" s="11">
        <v>32696</v>
      </c>
      <c r="G28" s="11">
        <v>204779</v>
      </c>
      <c r="H28" s="12">
        <f>IF(J28=TRUE(),E28,0)</f>
        <v>172083</v>
      </c>
      <c r="I28" s="12">
        <f>IF(K28=TRUE(),E28,0)</f>
        <v>0</v>
      </c>
      <c r="J28" t="b" s="9">
        <v>1</v>
      </c>
      <c r="K28" t="b" s="9">
        <v>0</v>
      </c>
    </row>
    <row r="29" ht="18" customHeight="1">
      <c r="A29" s="13">
        <f>COUNT(A18:A28)</f>
        <v>11</v>
      </c>
      <c r="B29" t="s" s="3">
        <v>28</v>
      </c>
      <c r="C29" t="s" s="14">
        <v>7</v>
      </c>
      <c r="D29" s="14"/>
      <c r="E29" s="15">
        <f>SUM(E18:E28)</f>
        <v>3420763</v>
      </c>
      <c r="F29" s="15">
        <f>SUM(F18:F28)</f>
        <v>649945</v>
      </c>
      <c r="G29" s="16">
        <f>SUM(G18:G28)</f>
        <v>4070708</v>
      </c>
      <c r="H29" s="17">
        <f>SUM(H18:H28)</f>
        <v>478683</v>
      </c>
      <c r="I29" s="17"/>
      <c r="J29" s="18">
        <f>COUNTIF(J18:J28,TRUE())</f>
        <v>3</v>
      </c>
      <c r="K29" s="19"/>
    </row>
    <row r="30" ht="17.5" customHeight="1">
      <c r="A30" s="20"/>
      <c r="B30" s="5"/>
      <c r="C30" s="20"/>
      <c r="D30" s="21"/>
      <c r="E30" s="20"/>
      <c r="F30" s="20"/>
      <c r="G30" s="20"/>
      <c r="H30" s="22"/>
      <c r="I30" s="22"/>
      <c r="J30" s="20"/>
      <c r="K30" s="20"/>
    </row>
    <row r="31" ht="17" customHeight="1">
      <c r="A31" t="s" s="3">
        <v>1</v>
      </c>
      <c r="B31" t="s" s="3">
        <v>2</v>
      </c>
      <c r="C31" t="s" s="3">
        <v>3</v>
      </c>
      <c r="D31" t="s" s="3">
        <v>4</v>
      </c>
      <c r="E31" t="s" s="3">
        <v>5</v>
      </c>
      <c r="F31" t="s" s="3">
        <v>6</v>
      </c>
      <c r="G31" t="s" s="3">
        <v>7</v>
      </c>
      <c r="H31" s="7"/>
      <c r="I31" s="7"/>
      <c r="J31" s="8"/>
      <c r="K31" s="8"/>
    </row>
    <row r="32" ht="17" customHeight="1">
      <c r="A32" s="4">
        <v>21</v>
      </c>
      <c r="B32" s="5">
        <v>40546</v>
      </c>
      <c r="C32" t="s" s="3">
        <v>29</v>
      </c>
      <c r="D32" s="3"/>
      <c r="E32" s="6">
        <v>232000</v>
      </c>
      <c r="F32" s="6">
        <v>44080</v>
      </c>
      <c r="G32" s="6">
        <v>276080</v>
      </c>
      <c r="H32" s="7">
        <f>IF(J32=TRUE(),E32,0)</f>
        <v>0</v>
      </c>
      <c r="I32" s="7">
        <f>IF(K32=TRUE(),E32,0)</f>
        <v>0</v>
      </c>
      <c r="J32" t="b" s="4">
        <v>0</v>
      </c>
      <c r="K32" t="b" s="4">
        <v>0</v>
      </c>
    </row>
    <row r="33" ht="17" customHeight="1">
      <c r="A33" s="4">
        <v>22</v>
      </c>
      <c r="B33" s="5">
        <v>40547</v>
      </c>
      <c r="C33" t="s" s="3">
        <v>10</v>
      </c>
      <c r="D33" s="3"/>
      <c r="E33" s="6">
        <v>281500</v>
      </c>
      <c r="F33" s="6">
        <v>53485</v>
      </c>
      <c r="G33" s="6">
        <v>334985</v>
      </c>
      <c r="H33" s="7">
        <f>IF(J33=TRUE(),E33,0)</f>
        <v>0</v>
      </c>
      <c r="I33" s="7">
        <f>IF(K33=TRUE(),E33,0)</f>
        <v>0</v>
      </c>
      <c r="J33" t="b" s="4">
        <v>0</v>
      </c>
      <c r="K33" t="b" s="4">
        <v>0</v>
      </c>
    </row>
    <row r="34" ht="17" customHeight="1">
      <c r="A34" s="4">
        <v>23</v>
      </c>
      <c r="B34" s="5">
        <v>40547</v>
      </c>
      <c r="C34" t="s" s="3">
        <v>30</v>
      </c>
      <c r="D34" t="s" s="3">
        <v>31</v>
      </c>
      <c r="E34" s="6">
        <v>148500</v>
      </c>
      <c r="F34" s="6">
        <v>28215</v>
      </c>
      <c r="G34" s="6">
        <v>176715</v>
      </c>
      <c r="H34" s="7">
        <f>IF(J34=TRUE(),E34,0)</f>
        <v>0</v>
      </c>
      <c r="I34" s="7">
        <f>IF(K34=TRUE(),E34,0)</f>
        <v>0</v>
      </c>
      <c r="J34" t="b" s="4">
        <v>0</v>
      </c>
      <c r="K34" t="b" s="4">
        <v>0</v>
      </c>
    </row>
    <row r="35" ht="17" customHeight="1">
      <c r="A35" s="4">
        <v>24</v>
      </c>
      <c r="B35" s="5">
        <v>40547</v>
      </c>
      <c r="C35" t="s" s="3">
        <v>22</v>
      </c>
      <c r="D35" t="s" s="3">
        <v>32</v>
      </c>
      <c r="E35" s="6">
        <v>149100</v>
      </c>
      <c r="F35" s="6">
        <v>28329</v>
      </c>
      <c r="G35" s="6">
        <v>177429</v>
      </c>
      <c r="H35" s="7">
        <f>IF(J35=TRUE(),E35,0)</f>
        <v>149100</v>
      </c>
      <c r="I35" s="7">
        <f>IF(K35=TRUE(),E35,0)</f>
        <v>0</v>
      </c>
      <c r="J35" t="b" s="4">
        <v>1</v>
      </c>
      <c r="K35" t="b" s="4">
        <v>0</v>
      </c>
    </row>
    <row r="36" ht="17" customHeight="1">
      <c r="A36" s="4">
        <v>25</v>
      </c>
      <c r="B36" s="5">
        <v>40547</v>
      </c>
      <c r="C36" t="s" s="3">
        <v>22</v>
      </c>
      <c r="D36" s="3"/>
      <c r="E36" s="6">
        <v>289000</v>
      </c>
      <c r="F36" s="6">
        <v>54910</v>
      </c>
      <c r="G36" s="6">
        <v>343910</v>
      </c>
      <c r="H36" s="7">
        <f>IF(J36=TRUE(),E36,0)</f>
        <v>0</v>
      </c>
      <c r="I36" s="7">
        <f>IF(K36=TRUE(),E36,0)</f>
        <v>0</v>
      </c>
      <c r="J36" t="b" s="4">
        <v>0</v>
      </c>
      <c r="K36" t="b" s="4">
        <v>0</v>
      </c>
    </row>
    <row r="37" ht="17" customHeight="1">
      <c r="A37" s="4">
        <v>26</v>
      </c>
      <c r="B37" s="5">
        <v>40547</v>
      </c>
      <c r="C37" t="s" s="3">
        <v>22</v>
      </c>
      <c r="D37" t="s" s="3">
        <v>24</v>
      </c>
      <c r="E37" s="6">
        <v>142500</v>
      </c>
      <c r="F37" s="6">
        <v>27075</v>
      </c>
      <c r="G37" s="6">
        <v>169575</v>
      </c>
      <c r="H37" s="7">
        <f>IF(J37=TRUE(),E37,0)</f>
        <v>0</v>
      </c>
      <c r="I37" s="7">
        <f>IF(K37=TRUE(),E37,0)</f>
        <v>0</v>
      </c>
      <c r="J37" t="b" s="4">
        <v>0</v>
      </c>
      <c r="K37" t="b" s="4">
        <v>0</v>
      </c>
    </row>
    <row r="38" ht="17" customHeight="1">
      <c r="A38" s="4">
        <v>27</v>
      </c>
      <c r="B38" s="5">
        <v>40548</v>
      </c>
      <c r="C38" t="s" s="3">
        <v>33</v>
      </c>
      <c r="D38" s="3"/>
      <c r="E38" s="6">
        <v>173000</v>
      </c>
      <c r="F38" s="6">
        <v>32870</v>
      </c>
      <c r="G38" s="6">
        <v>205870</v>
      </c>
      <c r="H38" s="7">
        <f>IF(J38=TRUE(),E38,0)</f>
        <v>0</v>
      </c>
      <c r="I38" s="7">
        <f>IF(K38=TRUE(),E38,0)</f>
        <v>0</v>
      </c>
      <c r="J38" t="b" s="4">
        <v>0</v>
      </c>
      <c r="K38" t="b" s="4">
        <v>0</v>
      </c>
    </row>
    <row r="39" ht="17" customHeight="1">
      <c r="A39" s="4">
        <v>28</v>
      </c>
      <c r="B39" s="5">
        <v>40553</v>
      </c>
      <c r="C39" t="s" s="3">
        <v>34</v>
      </c>
      <c r="D39" t="s" s="3">
        <v>35</v>
      </c>
      <c r="E39" s="6">
        <v>492500</v>
      </c>
      <c r="F39" s="6">
        <v>93575</v>
      </c>
      <c r="G39" s="6">
        <v>586075</v>
      </c>
      <c r="H39" s="7">
        <f>IF(J39=TRUE(),E39,0)</f>
        <v>0</v>
      </c>
      <c r="I39" s="7">
        <f>IF(K39=TRUE(),E39,0)</f>
        <v>0</v>
      </c>
      <c r="J39" t="b" s="4">
        <v>0</v>
      </c>
      <c r="K39" t="b" s="4">
        <v>0</v>
      </c>
    </row>
    <row r="40" ht="17" customHeight="1">
      <c r="A40" s="4">
        <v>29</v>
      </c>
      <c r="B40" s="5">
        <v>40553</v>
      </c>
      <c r="C40" t="s" s="3">
        <v>36</v>
      </c>
      <c r="D40" s="3"/>
      <c r="E40" s="6">
        <v>265625</v>
      </c>
      <c r="F40" s="6">
        <v>50469</v>
      </c>
      <c r="G40" s="6">
        <v>316094</v>
      </c>
      <c r="H40" s="7">
        <f>IF(J40=TRUE(),E40,0)</f>
        <v>0</v>
      </c>
      <c r="I40" s="7">
        <f>IF(K40=TRUE(),E40,0)</f>
        <v>0</v>
      </c>
      <c r="J40" t="b" s="4">
        <v>0</v>
      </c>
      <c r="K40" t="b" s="4">
        <v>0</v>
      </c>
    </row>
    <row r="41" ht="17" customHeight="1">
      <c r="A41" s="4">
        <v>30</v>
      </c>
      <c r="B41" s="5">
        <v>40553</v>
      </c>
      <c r="C41" t="s" s="3">
        <v>29</v>
      </c>
      <c r="D41" s="3"/>
      <c r="E41" s="6">
        <v>159000</v>
      </c>
      <c r="F41" s="6">
        <v>30210</v>
      </c>
      <c r="G41" s="6">
        <v>189210</v>
      </c>
      <c r="H41" s="7">
        <f>IF(J41=TRUE(),E41,0)</f>
        <v>0</v>
      </c>
      <c r="I41" s="7">
        <f>IF(K41=TRUE(),E41,0)</f>
        <v>0</v>
      </c>
      <c r="J41" t="b" s="4">
        <v>0</v>
      </c>
      <c r="K41" t="b" s="4">
        <v>0</v>
      </c>
    </row>
    <row r="42" ht="17" customHeight="1">
      <c r="A42" s="4">
        <v>31</v>
      </c>
      <c r="B42" s="5">
        <v>40553</v>
      </c>
      <c r="C42" t="s" s="3">
        <v>26</v>
      </c>
      <c r="D42" s="3"/>
      <c r="E42" s="6">
        <v>37500</v>
      </c>
      <c r="F42" s="6">
        <v>7125</v>
      </c>
      <c r="G42" s="6">
        <v>44625</v>
      </c>
      <c r="H42" s="7">
        <f>IF(J42=TRUE(),E42,0)</f>
        <v>0</v>
      </c>
      <c r="I42" s="7">
        <f>IF(K42=TRUE(),E42,0)</f>
        <v>0</v>
      </c>
      <c r="J42" t="b" s="4">
        <v>0</v>
      </c>
      <c r="K42" t="b" s="4">
        <v>0</v>
      </c>
    </row>
    <row r="43" ht="17" customHeight="1">
      <c r="A43" s="4">
        <v>32</v>
      </c>
      <c r="B43" s="5">
        <v>40554</v>
      </c>
      <c r="C43" t="s" s="3">
        <v>19</v>
      </c>
      <c r="D43" t="s" s="3">
        <v>37</v>
      </c>
      <c r="E43" s="6">
        <v>28000</v>
      </c>
      <c r="F43" s="6">
        <v>5320</v>
      </c>
      <c r="G43" s="6">
        <v>33320</v>
      </c>
      <c r="H43" s="7">
        <f>IF(J43=TRUE(),E43,0)</f>
        <v>0</v>
      </c>
      <c r="I43" s="7">
        <f>IF(K43=TRUE(),E43,0)</f>
        <v>0</v>
      </c>
      <c r="J43" t="b" s="4">
        <v>0</v>
      </c>
      <c r="K43" t="b" s="4">
        <v>0</v>
      </c>
    </row>
    <row r="44" ht="17" customHeight="1">
      <c r="A44" s="4">
        <v>33</v>
      </c>
      <c r="B44" s="5">
        <v>40554</v>
      </c>
      <c r="C44" t="s" s="3">
        <v>29</v>
      </c>
      <c r="D44" s="3"/>
      <c r="E44" s="6">
        <v>266050</v>
      </c>
      <c r="F44" s="6">
        <v>50550</v>
      </c>
      <c r="G44" s="6">
        <v>316600</v>
      </c>
      <c r="H44" s="7">
        <f>IF(J44=TRUE(),E44,0)</f>
        <v>0</v>
      </c>
      <c r="I44" s="7">
        <f>IF(K44=TRUE(),E44,0)</f>
        <v>0</v>
      </c>
      <c r="J44" t="b" s="4">
        <v>0</v>
      </c>
      <c r="K44" t="b" s="4">
        <v>0</v>
      </c>
    </row>
    <row r="45" ht="17" customHeight="1">
      <c r="A45" s="4">
        <v>34</v>
      </c>
      <c r="B45" s="5">
        <v>40556</v>
      </c>
      <c r="C45" t="s" s="3">
        <v>18</v>
      </c>
      <c r="D45" s="3"/>
      <c r="E45" s="6">
        <v>860000</v>
      </c>
      <c r="F45" s="6">
        <v>163400</v>
      </c>
      <c r="G45" s="6">
        <v>1023400</v>
      </c>
      <c r="H45" s="7">
        <f>IF(J45=TRUE(),E45,0)</f>
        <v>0</v>
      </c>
      <c r="I45" s="7">
        <f>IF(K45=TRUE(),E45,0)</f>
        <v>0</v>
      </c>
      <c r="J45" t="b" s="4">
        <v>0</v>
      </c>
      <c r="K45" t="b" s="4">
        <v>0</v>
      </c>
    </row>
    <row r="46" ht="17" customHeight="1">
      <c r="A46" s="4">
        <v>35</v>
      </c>
      <c r="B46" s="5">
        <v>40562</v>
      </c>
      <c r="C46" t="s" s="3">
        <v>30</v>
      </c>
      <c r="D46" t="s" s="3">
        <v>32</v>
      </c>
      <c r="E46" s="6">
        <v>74000</v>
      </c>
      <c r="F46" s="6">
        <v>14060</v>
      </c>
      <c r="G46" s="6">
        <v>88060</v>
      </c>
      <c r="H46" s="7">
        <f>IF(J46=TRUE(),E46,0)</f>
        <v>74000</v>
      </c>
      <c r="I46" s="7">
        <f>IF(K46=TRUE(),E46,0)</f>
        <v>0</v>
      </c>
      <c r="J46" t="b" s="4">
        <v>1</v>
      </c>
      <c r="K46" t="b" s="4">
        <v>0</v>
      </c>
    </row>
    <row r="47" ht="17" customHeight="1">
      <c r="A47" s="4">
        <v>36</v>
      </c>
      <c r="B47" s="5">
        <v>40562</v>
      </c>
      <c r="C47" t="s" s="3">
        <v>38</v>
      </c>
      <c r="D47" t="s" s="3">
        <v>39</v>
      </c>
      <c r="E47" s="6">
        <v>35000</v>
      </c>
      <c r="F47" s="6">
        <v>6650</v>
      </c>
      <c r="G47" s="6">
        <v>41650</v>
      </c>
      <c r="H47" s="7">
        <f>IF(J47=TRUE(),E47,0)</f>
        <v>0</v>
      </c>
      <c r="I47" s="7">
        <f>IF(K47=TRUE(),E47,0)</f>
        <v>0</v>
      </c>
      <c r="J47" t="b" s="4">
        <v>0</v>
      </c>
      <c r="K47" t="b" s="4">
        <v>0</v>
      </c>
    </row>
    <row r="48" ht="17" customHeight="1">
      <c r="A48" s="4">
        <v>37</v>
      </c>
      <c r="B48" s="5">
        <v>40564</v>
      </c>
      <c r="C48" t="s" s="3">
        <v>40</v>
      </c>
      <c r="D48" t="s" s="3">
        <v>41</v>
      </c>
      <c r="E48" s="6">
        <v>363000</v>
      </c>
      <c r="F48" s="6">
        <v>68970</v>
      </c>
      <c r="G48" s="6">
        <v>431970</v>
      </c>
      <c r="H48" s="7">
        <f>IF(J48=TRUE(),E48,0)</f>
        <v>0</v>
      </c>
      <c r="I48" s="7">
        <f>IF(K48=TRUE(),E48,0)</f>
        <v>0</v>
      </c>
      <c r="J48" t="b" s="4">
        <v>0</v>
      </c>
      <c r="K48" t="b" s="4">
        <v>0</v>
      </c>
    </row>
    <row r="49" ht="17" customHeight="1">
      <c r="A49" s="4">
        <v>38</v>
      </c>
      <c r="B49" s="5"/>
      <c r="C49" t="s" s="3">
        <v>11</v>
      </c>
      <c r="D49" s="3"/>
      <c r="E49" s="8"/>
      <c r="F49" s="8"/>
      <c r="G49" s="8"/>
      <c r="H49" s="7">
        <f>IF(J49=TRUE(),E49,0)</f>
        <v>0</v>
      </c>
      <c r="I49" s="7">
        <f>IF(K49=TRUE(),E49,0)</f>
        <v>0</v>
      </c>
      <c r="J49" t="b" s="4">
        <v>0</v>
      </c>
      <c r="K49" t="b" s="4">
        <v>0</v>
      </c>
    </row>
    <row r="50" ht="17" customHeight="1">
      <c r="A50" s="4">
        <v>39</v>
      </c>
      <c r="B50" s="5">
        <v>40564</v>
      </c>
      <c r="C50" t="s" s="3">
        <v>40</v>
      </c>
      <c r="D50" t="s" s="3">
        <v>32</v>
      </c>
      <c r="E50" s="6">
        <v>110000</v>
      </c>
      <c r="F50" s="6">
        <v>20900</v>
      </c>
      <c r="G50" s="6">
        <v>130900</v>
      </c>
      <c r="H50" s="7">
        <f>IF(J50=TRUE(),E50,0)</f>
        <v>110000</v>
      </c>
      <c r="I50" s="7">
        <f>IF(K50=TRUE(),E50,0)</f>
        <v>0</v>
      </c>
      <c r="J50" t="b" s="4">
        <v>1</v>
      </c>
      <c r="K50" t="b" s="4">
        <v>0</v>
      </c>
    </row>
    <row r="51" ht="17" customHeight="1">
      <c r="A51" s="4">
        <v>40</v>
      </c>
      <c r="B51" s="5">
        <v>40570</v>
      </c>
      <c r="C51" t="s" s="3">
        <v>42</v>
      </c>
      <c r="D51" t="s" s="3">
        <v>32</v>
      </c>
      <c r="E51" s="6">
        <v>157500</v>
      </c>
      <c r="F51" s="6">
        <v>29925</v>
      </c>
      <c r="G51" s="6">
        <v>187425</v>
      </c>
      <c r="H51" s="7">
        <f>IF(J51=TRUE(),E51,0)</f>
        <v>157500</v>
      </c>
      <c r="I51" s="7">
        <f>IF(K51=TRUE(),E51,0)</f>
        <v>0</v>
      </c>
      <c r="J51" t="b" s="4">
        <v>1</v>
      </c>
      <c r="K51" t="b" s="4">
        <v>0</v>
      </c>
    </row>
    <row r="52" ht="17" customHeight="1">
      <c r="A52" s="4">
        <v>41</v>
      </c>
      <c r="B52" s="5">
        <v>40570</v>
      </c>
      <c r="C52" t="s" s="3">
        <v>43</v>
      </c>
      <c r="D52" t="s" s="3">
        <v>44</v>
      </c>
      <c r="E52" s="6">
        <v>344110</v>
      </c>
      <c r="F52" s="6">
        <v>65381</v>
      </c>
      <c r="G52" s="6">
        <v>409491</v>
      </c>
      <c r="H52" s="7">
        <f>IF(J52=TRUE(),E52,0)</f>
        <v>0</v>
      </c>
      <c r="I52" s="7">
        <f>IF(K52=TRUE(),E52,0)</f>
        <v>0</v>
      </c>
      <c r="J52" t="b" s="4">
        <v>0</v>
      </c>
      <c r="K52" t="b" s="4">
        <v>0</v>
      </c>
    </row>
    <row r="53" ht="17" customHeight="1">
      <c r="A53" s="4">
        <v>42</v>
      </c>
      <c r="B53" s="5">
        <v>40570</v>
      </c>
      <c r="C53" t="s" s="3">
        <v>45</v>
      </c>
      <c r="D53" t="s" s="3">
        <v>46</v>
      </c>
      <c r="E53" s="6">
        <v>355000</v>
      </c>
      <c r="F53" s="6">
        <v>67450</v>
      </c>
      <c r="G53" s="6">
        <v>422450</v>
      </c>
      <c r="H53" s="7">
        <f>IF(J53=TRUE(),E53,0)</f>
        <v>0</v>
      </c>
      <c r="I53" s="7">
        <f>IF(K53=TRUE(),E53,0)</f>
        <v>0</v>
      </c>
      <c r="J53" t="b" s="4">
        <v>0</v>
      </c>
      <c r="K53" t="b" s="4">
        <v>0</v>
      </c>
    </row>
    <row r="54" ht="17" customHeight="1">
      <c r="A54" s="4">
        <v>43</v>
      </c>
      <c r="B54" s="5"/>
      <c r="C54" t="s" s="3">
        <v>11</v>
      </c>
      <c r="D54" s="3"/>
      <c r="E54" s="8"/>
      <c r="F54" s="8"/>
      <c r="G54" s="8"/>
      <c r="H54" s="7">
        <f>IF(J54=TRUE(),E54,0)</f>
        <v>0</v>
      </c>
      <c r="I54" s="7">
        <f>IF(K54=TRUE(),E54,0)</f>
        <v>0</v>
      </c>
      <c r="J54" t="b" s="4">
        <v>0</v>
      </c>
      <c r="K54" t="b" s="4">
        <v>0</v>
      </c>
    </row>
    <row r="55" ht="17" customHeight="1">
      <c r="A55" s="4">
        <v>44</v>
      </c>
      <c r="B55" s="5"/>
      <c r="C55" t="s" s="3">
        <v>11</v>
      </c>
      <c r="D55" s="3"/>
      <c r="E55" s="8"/>
      <c r="F55" s="8"/>
      <c r="G55" s="8"/>
      <c r="H55" s="7">
        <f>IF(J55=TRUE(),E55,0)</f>
        <v>0</v>
      </c>
      <c r="I55" s="7">
        <f>IF(K55=TRUE(),E55,0)</f>
        <v>0</v>
      </c>
      <c r="J55" t="b" s="4">
        <v>0</v>
      </c>
      <c r="K55" t="b" s="4">
        <v>0</v>
      </c>
    </row>
    <row r="56" ht="17" customHeight="1">
      <c r="A56" s="4">
        <v>45</v>
      </c>
      <c r="B56" s="5"/>
      <c r="C56" t="s" s="3">
        <v>11</v>
      </c>
      <c r="D56" s="3"/>
      <c r="E56" s="8"/>
      <c r="F56" s="8"/>
      <c r="G56" s="8"/>
      <c r="H56" s="7">
        <f>IF(J56=TRUE(),E56,0)</f>
        <v>0</v>
      </c>
      <c r="I56" s="7">
        <f>IF(K56=TRUE(),E56,0)</f>
        <v>0</v>
      </c>
      <c r="J56" t="b" s="4">
        <v>0</v>
      </c>
      <c r="K56" t="b" s="4">
        <v>0</v>
      </c>
    </row>
    <row r="57" ht="17.5" customHeight="1">
      <c r="A57" s="9">
        <v>46</v>
      </c>
      <c r="B57" s="5">
        <v>40573</v>
      </c>
      <c r="C57" t="s" s="10">
        <v>47</v>
      </c>
      <c r="D57" t="s" s="10">
        <v>32</v>
      </c>
      <c r="E57" s="11">
        <v>30625</v>
      </c>
      <c r="F57" s="11">
        <f>E57*0.19</f>
        <v>5818.75</v>
      </c>
      <c r="G57" s="11">
        <f>E57+F57</f>
        <v>36443.75</v>
      </c>
      <c r="H57" s="12">
        <f>IF(J57=TRUE(),E57,0)</f>
        <v>0</v>
      </c>
      <c r="I57" s="12">
        <f>IF(K57=TRUE(),E57,0)</f>
        <v>0</v>
      </c>
      <c r="J57" t="b" s="9">
        <v>0</v>
      </c>
      <c r="K57" t="b" s="9">
        <v>0</v>
      </c>
    </row>
    <row r="58" ht="18" customHeight="1">
      <c r="A58" s="13">
        <f>COUNT(A32:A57)</f>
        <v>26</v>
      </c>
      <c r="B58" t="s" s="3">
        <v>48</v>
      </c>
      <c r="C58" t="s" s="14">
        <v>7</v>
      </c>
      <c r="D58" s="14"/>
      <c r="E58" s="15">
        <f>SUM(E32:E57)</f>
        <v>4993510</v>
      </c>
      <c r="F58" s="15">
        <f>SUM(F32:F57)</f>
        <v>948767.75</v>
      </c>
      <c r="G58" s="16">
        <f>SUM(G32:G57)</f>
        <v>5942277.75</v>
      </c>
      <c r="H58" s="17">
        <f>SUM(H32:H57)</f>
        <v>490600</v>
      </c>
      <c r="I58" s="17"/>
      <c r="J58" s="18">
        <f>COUNTIF(J32:J57,TRUE())</f>
        <v>4</v>
      </c>
      <c r="K58" s="19"/>
    </row>
    <row r="59" ht="17.5" customHeight="1">
      <c r="A59" s="20"/>
      <c r="B59" s="5"/>
      <c r="C59" s="20"/>
      <c r="D59" s="21"/>
      <c r="E59" s="20"/>
      <c r="F59" s="20"/>
      <c r="G59" s="20"/>
      <c r="H59" s="22"/>
      <c r="I59" s="22"/>
      <c r="J59" s="20"/>
      <c r="K59" s="20"/>
    </row>
    <row r="60" ht="17" customHeight="1">
      <c r="A60" t="s" s="3">
        <v>1</v>
      </c>
      <c r="B60" t="s" s="3">
        <v>2</v>
      </c>
      <c r="C60" t="s" s="3">
        <v>3</v>
      </c>
      <c r="D60" t="s" s="3">
        <v>4</v>
      </c>
      <c r="E60" t="s" s="3">
        <v>5</v>
      </c>
      <c r="F60" t="s" s="3">
        <v>6</v>
      </c>
      <c r="G60" t="s" s="3">
        <v>7</v>
      </c>
      <c r="H60" s="7"/>
      <c r="I60" s="7"/>
      <c r="J60" s="8"/>
      <c r="K60" s="8"/>
    </row>
    <row r="61" ht="17" customHeight="1">
      <c r="A61" s="4">
        <v>47</v>
      </c>
      <c r="B61" s="5">
        <v>40576</v>
      </c>
      <c r="C61" t="s" s="3">
        <v>49</v>
      </c>
      <c r="D61" t="s" s="3">
        <v>50</v>
      </c>
      <c r="E61" s="6">
        <v>593055</v>
      </c>
      <c r="F61" s="6">
        <v>112680</v>
      </c>
      <c r="G61" s="6">
        <v>705735</v>
      </c>
      <c r="H61" s="7">
        <f>IF(J61=TRUE(),E61,0)</f>
        <v>0</v>
      </c>
      <c r="I61" s="7">
        <f>IF(K61=TRUE(),E61,0)</f>
        <v>0</v>
      </c>
      <c r="J61" t="b" s="4">
        <v>0</v>
      </c>
      <c r="K61" t="b" s="4">
        <v>0</v>
      </c>
    </row>
    <row r="62" ht="17" customHeight="1">
      <c r="A62" s="4">
        <v>48</v>
      </c>
      <c r="B62" s="5">
        <v>40576</v>
      </c>
      <c r="C62" t="s" s="3">
        <v>49</v>
      </c>
      <c r="D62" t="s" s="3">
        <v>51</v>
      </c>
      <c r="E62" s="6">
        <v>200000</v>
      </c>
      <c r="F62" s="6">
        <v>38000</v>
      </c>
      <c r="G62" s="6">
        <v>238000</v>
      </c>
      <c r="H62" s="7">
        <f>IF(J62=TRUE(),E62,0)</f>
        <v>0</v>
      </c>
      <c r="I62" s="7">
        <f>IF(K62=TRUE(),E62,0)</f>
        <v>0</v>
      </c>
      <c r="J62" t="b" s="4">
        <v>0</v>
      </c>
      <c r="K62" t="b" s="4">
        <v>0</v>
      </c>
    </row>
    <row r="63" ht="17" customHeight="1">
      <c r="A63" s="4">
        <v>49</v>
      </c>
      <c r="B63" s="5">
        <v>40580</v>
      </c>
      <c r="C63" t="s" s="3">
        <v>30</v>
      </c>
      <c r="D63" t="s" s="3">
        <v>52</v>
      </c>
      <c r="E63" s="6">
        <v>74000</v>
      </c>
      <c r="F63" s="6">
        <f>E63*0.19</f>
        <v>14060</v>
      </c>
      <c r="G63" s="6">
        <f>E63+F63</f>
        <v>88060</v>
      </c>
      <c r="H63" s="7">
        <f>IF(J63=TRUE(),E63,0)</f>
        <v>74000</v>
      </c>
      <c r="I63" s="7">
        <f>IF(K63=TRUE(),E63,0)</f>
        <v>0</v>
      </c>
      <c r="J63" t="b" s="4">
        <v>1</v>
      </c>
      <c r="K63" t="b" s="4">
        <v>0</v>
      </c>
    </row>
    <row r="64" ht="17" customHeight="1">
      <c r="A64" s="4">
        <v>50</v>
      </c>
      <c r="B64" s="5">
        <v>40580</v>
      </c>
      <c r="C64" t="s" s="3">
        <v>25</v>
      </c>
      <c r="D64" t="s" s="3">
        <v>52</v>
      </c>
      <c r="E64" s="6">
        <v>157500</v>
      </c>
      <c r="F64" s="6">
        <f>E64*0.19</f>
        <v>29925</v>
      </c>
      <c r="G64" s="6">
        <f>E64+F64</f>
        <v>187425</v>
      </c>
      <c r="H64" s="7">
        <f>IF(J64=TRUE(),E64,0)</f>
        <v>157500</v>
      </c>
      <c r="I64" s="7">
        <f>IF(K64=TRUE(),E64,0)</f>
        <v>0</v>
      </c>
      <c r="J64" t="b" s="4">
        <v>1</v>
      </c>
      <c r="K64" t="b" s="4">
        <v>0</v>
      </c>
    </row>
    <row r="65" ht="17" customHeight="1">
      <c r="A65" s="4">
        <v>51</v>
      </c>
      <c r="B65" s="5">
        <v>40581</v>
      </c>
      <c r="C65" t="s" s="3">
        <v>26</v>
      </c>
      <c r="D65" t="s" s="3">
        <v>53</v>
      </c>
      <c r="E65" s="6">
        <v>82500</v>
      </c>
      <c r="F65" s="6">
        <v>15675</v>
      </c>
      <c r="G65" s="6">
        <v>98175</v>
      </c>
      <c r="H65" s="7">
        <f>IF(J65=TRUE(),E65,0)</f>
        <v>0</v>
      </c>
      <c r="I65" s="7">
        <f>IF(K65=TRUE(),E65,0)</f>
        <v>0</v>
      </c>
      <c r="J65" t="b" s="4">
        <v>0</v>
      </c>
      <c r="K65" t="b" s="4">
        <v>0</v>
      </c>
    </row>
    <row r="66" ht="17" customHeight="1">
      <c r="A66" s="4">
        <v>52</v>
      </c>
      <c r="B66" s="5">
        <v>40581</v>
      </c>
      <c r="C66" t="s" s="3">
        <v>54</v>
      </c>
      <c r="D66" t="s" s="3">
        <v>55</v>
      </c>
      <c r="E66" s="6">
        <v>866800</v>
      </c>
      <c r="F66" s="6">
        <v>164692</v>
      </c>
      <c r="G66" s="6">
        <v>1031492</v>
      </c>
      <c r="H66" s="7">
        <f>IF(J66=TRUE(),E66,0)</f>
        <v>0</v>
      </c>
      <c r="I66" s="7">
        <f>IF(K66=TRUE(),E66,0)</f>
        <v>0</v>
      </c>
      <c r="J66" t="b" s="4">
        <v>0</v>
      </c>
      <c r="K66" t="b" s="4">
        <v>0</v>
      </c>
    </row>
    <row r="67" ht="17" customHeight="1">
      <c r="A67" s="4">
        <v>53</v>
      </c>
      <c r="B67" s="5">
        <v>40583</v>
      </c>
      <c r="C67" t="s" s="3">
        <v>56</v>
      </c>
      <c r="D67" t="s" s="3">
        <v>52</v>
      </c>
      <c r="E67" s="6">
        <v>125000</v>
      </c>
      <c r="F67" s="6">
        <v>23750</v>
      </c>
      <c r="G67" s="6">
        <v>148750</v>
      </c>
      <c r="H67" s="7">
        <f>IF(J67=TRUE(),E67,0)</f>
        <v>125000</v>
      </c>
      <c r="I67" s="7">
        <f>IF(K67=TRUE(),E67,0)</f>
        <v>0</v>
      </c>
      <c r="J67" t="b" s="4">
        <v>1</v>
      </c>
      <c r="K67" t="b" s="4">
        <v>0</v>
      </c>
    </row>
    <row r="68" ht="17" customHeight="1">
      <c r="A68" s="4">
        <v>54</v>
      </c>
      <c r="B68" s="5">
        <v>40591</v>
      </c>
      <c r="C68" t="s" s="3">
        <v>10</v>
      </c>
      <c r="D68" t="s" s="3">
        <v>57</v>
      </c>
      <c r="E68" s="6">
        <v>487500</v>
      </c>
      <c r="F68" s="6">
        <v>92625</v>
      </c>
      <c r="G68" s="6">
        <v>580125</v>
      </c>
      <c r="H68" s="7">
        <f>IF(J68=TRUE(),E68,0)</f>
        <v>0</v>
      </c>
      <c r="I68" s="7">
        <f>IF(K68=TRUE(),E68,0)</f>
        <v>0</v>
      </c>
      <c r="J68" t="b" s="4">
        <v>0</v>
      </c>
      <c r="K68" t="b" s="4">
        <v>0</v>
      </c>
    </row>
    <row r="69" ht="17" customHeight="1">
      <c r="A69" s="4">
        <v>55</v>
      </c>
      <c r="B69" s="5">
        <v>40591</v>
      </c>
      <c r="C69" t="s" s="3">
        <v>58</v>
      </c>
      <c r="D69" t="s" s="3">
        <v>59</v>
      </c>
      <c r="E69" s="6">
        <v>67000</v>
      </c>
      <c r="F69" s="6">
        <v>12730</v>
      </c>
      <c r="G69" s="6">
        <v>79730</v>
      </c>
      <c r="H69" s="7">
        <f>IF(J69=TRUE(),E69,0)</f>
        <v>0</v>
      </c>
      <c r="I69" s="7">
        <f>IF(K69=TRUE(),E69,0)</f>
        <v>0</v>
      </c>
      <c r="J69" t="b" s="4">
        <v>0</v>
      </c>
      <c r="K69" t="b" s="4">
        <v>0</v>
      </c>
    </row>
    <row r="70" ht="17" customHeight="1">
      <c r="A70" s="4">
        <v>56</v>
      </c>
      <c r="B70" s="5">
        <v>40582</v>
      </c>
      <c r="C70" t="s" s="3">
        <v>22</v>
      </c>
      <c r="D70" t="s" s="3">
        <v>52</v>
      </c>
      <c r="E70" s="6">
        <v>149100</v>
      </c>
      <c r="F70" s="6">
        <v>28329</v>
      </c>
      <c r="G70" s="6">
        <v>177429</v>
      </c>
      <c r="H70" s="7">
        <f>IF(J70=TRUE(),E70,0)</f>
        <v>149100</v>
      </c>
      <c r="I70" s="7">
        <f>IF(K70=TRUE(),E70,0)</f>
        <v>0</v>
      </c>
      <c r="J70" t="b" s="4">
        <v>1</v>
      </c>
      <c r="K70" t="b" s="4">
        <v>0</v>
      </c>
    </row>
    <row r="71" ht="17" customHeight="1">
      <c r="A71" s="4">
        <v>57</v>
      </c>
      <c r="B71" s="5"/>
      <c r="C71" t="s" s="3">
        <v>11</v>
      </c>
      <c r="D71" s="3"/>
      <c r="E71" s="8"/>
      <c r="F71" s="8"/>
      <c r="G71" s="8"/>
      <c r="H71" s="7">
        <f>IF(J71=TRUE(),E71,0)</f>
        <v>0</v>
      </c>
      <c r="I71" s="7">
        <f>IF(K71=TRUE(),E71,0)</f>
        <v>0</v>
      </c>
      <c r="J71" t="b" s="4">
        <v>0</v>
      </c>
      <c r="K71" t="b" s="4">
        <v>0</v>
      </c>
    </row>
    <row r="72" ht="17" customHeight="1">
      <c r="A72" s="4">
        <v>58</v>
      </c>
      <c r="B72" s="5">
        <v>40591</v>
      </c>
      <c r="C72" t="s" s="3">
        <v>60</v>
      </c>
      <c r="D72" t="s" s="3">
        <v>52</v>
      </c>
      <c r="E72" s="6">
        <v>30625</v>
      </c>
      <c r="F72" s="6">
        <v>5819</v>
      </c>
      <c r="G72" s="6">
        <v>36444</v>
      </c>
      <c r="H72" s="7">
        <f>IF(J72=TRUE(),E72,0)</f>
        <v>30625</v>
      </c>
      <c r="I72" s="7">
        <f>IF(K72=TRUE(),E72,0)</f>
        <v>0</v>
      </c>
      <c r="J72" t="b" s="4">
        <v>1</v>
      </c>
      <c r="K72" t="b" s="4">
        <v>0</v>
      </c>
    </row>
    <row r="73" ht="17" customHeight="1">
      <c r="A73" s="4">
        <v>59</v>
      </c>
      <c r="B73" s="5">
        <v>40591</v>
      </c>
      <c r="C73" t="s" s="3">
        <v>33</v>
      </c>
      <c r="D73" t="s" s="3">
        <v>61</v>
      </c>
      <c r="E73" s="6">
        <v>71750</v>
      </c>
      <c r="F73" s="6">
        <v>13633</v>
      </c>
      <c r="G73" s="6">
        <v>85383</v>
      </c>
      <c r="H73" s="7">
        <f>IF(J73=TRUE(),E73,0)</f>
        <v>0</v>
      </c>
      <c r="I73" s="7">
        <f>IF(K73=TRUE(),E73,0)</f>
        <v>0</v>
      </c>
      <c r="J73" t="b" s="4">
        <v>0</v>
      </c>
      <c r="K73" t="b" s="4">
        <v>0</v>
      </c>
    </row>
    <row r="74" ht="17" customHeight="1">
      <c r="A74" s="4">
        <v>60</v>
      </c>
      <c r="B74" s="5">
        <v>40591</v>
      </c>
      <c r="C74" t="s" s="3">
        <v>33</v>
      </c>
      <c r="D74" t="s" s="3">
        <v>62</v>
      </c>
      <c r="E74" s="6">
        <v>492390</v>
      </c>
      <c r="F74" s="6">
        <v>93554</v>
      </c>
      <c r="G74" s="6">
        <v>585944</v>
      </c>
      <c r="H74" s="7">
        <f>IF(J74=TRUE(),E74,0)</f>
        <v>0</v>
      </c>
      <c r="I74" s="7">
        <f>IF(K74=TRUE(),E74,0)</f>
        <v>0</v>
      </c>
      <c r="J74" t="b" s="4">
        <v>0</v>
      </c>
      <c r="K74" t="b" s="4">
        <v>0</v>
      </c>
    </row>
    <row r="75" ht="17" customHeight="1">
      <c r="A75" s="4">
        <v>61</v>
      </c>
      <c r="B75" s="5">
        <v>40597</v>
      </c>
      <c r="C75" t="s" s="3">
        <v>63</v>
      </c>
      <c r="D75" t="s" s="3">
        <v>64</v>
      </c>
      <c r="E75" s="6">
        <v>1940050</v>
      </c>
      <c r="F75" s="6">
        <v>368610</v>
      </c>
      <c r="G75" s="6">
        <v>2308660</v>
      </c>
      <c r="H75" s="7">
        <f>IF(J75=TRUE(),E75,0)</f>
        <v>0</v>
      </c>
      <c r="I75" s="7">
        <f>IF(K75=TRUE(),E75,0)</f>
        <v>0</v>
      </c>
      <c r="J75" t="b" s="4">
        <v>0</v>
      </c>
      <c r="K75" t="b" s="4">
        <v>0</v>
      </c>
    </row>
    <row r="76" ht="17" customHeight="1">
      <c r="A76" s="4">
        <v>62</v>
      </c>
      <c r="B76" s="5">
        <v>40602</v>
      </c>
      <c r="C76" t="s" s="3">
        <v>33</v>
      </c>
      <c r="D76" t="s" s="3">
        <v>65</v>
      </c>
      <c r="E76" s="6">
        <v>135000</v>
      </c>
      <c r="F76" s="6">
        <f>E76*0.19</f>
        <v>25650</v>
      </c>
      <c r="G76" s="6">
        <f>E76+F76</f>
        <v>160650</v>
      </c>
      <c r="H76" s="7">
        <f>IF(J76=TRUE(),E76,0)</f>
        <v>0</v>
      </c>
      <c r="I76" s="7">
        <f>IF(K76=TRUE(),E76,0)</f>
        <v>0</v>
      </c>
      <c r="J76" t="b" s="4">
        <v>0</v>
      </c>
      <c r="K76" t="b" s="4">
        <v>0</v>
      </c>
    </row>
    <row r="77" ht="17" customHeight="1">
      <c r="A77" s="4">
        <v>65</v>
      </c>
      <c r="B77" s="5">
        <v>40602</v>
      </c>
      <c r="C77" t="s" s="3">
        <v>66</v>
      </c>
      <c r="D77" t="s" s="3">
        <v>52</v>
      </c>
      <c r="E77" s="6">
        <v>130900</v>
      </c>
      <c r="F77" s="6">
        <f>E77*0.19</f>
        <v>24871</v>
      </c>
      <c r="G77" s="6">
        <f>E77+F77</f>
        <v>155771</v>
      </c>
      <c r="H77" s="7">
        <f>IF(J77=TRUE(),E77,0)</f>
        <v>130900</v>
      </c>
      <c r="I77" s="7">
        <f>IF(K77=TRUE(),E77,0)</f>
        <v>0</v>
      </c>
      <c r="J77" t="b" s="4">
        <v>1</v>
      </c>
      <c r="K77" t="b" s="4">
        <v>0</v>
      </c>
    </row>
    <row r="78" ht="17.5" customHeight="1">
      <c r="A78" s="9">
        <v>72</v>
      </c>
      <c r="B78" s="5">
        <v>40611</v>
      </c>
      <c r="C78" t="s" s="10">
        <v>40</v>
      </c>
      <c r="D78" t="s" s="10">
        <v>52</v>
      </c>
      <c r="E78" s="11">
        <v>110000</v>
      </c>
      <c r="F78" s="11">
        <v>20900</v>
      </c>
      <c r="G78" s="11">
        <v>130900</v>
      </c>
      <c r="H78" s="12">
        <f>IF(J78=TRUE(),E78,0)</f>
        <v>110000</v>
      </c>
      <c r="I78" s="12">
        <f>IF(K78=TRUE(),E78,0)</f>
        <v>0</v>
      </c>
      <c r="J78" t="b" s="9">
        <v>1</v>
      </c>
      <c r="K78" t="b" s="9">
        <v>0</v>
      </c>
    </row>
    <row r="79" ht="18" customHeight="1">
      <c r="A79" s="13">
        <f>COUNT(A61:A78)</f>
        <v>18</v>
      </c>
      <c r="B79" t="s" s="3">
        <v>67</v>
      </c>
      <c r="C79" t="s" s="14">
        <v>7</v>
      </c>
      <c r="D79" s="14"/>
      <c r="E79" s="15">
        <f>SUM(E61:E78)</f>
        <v>5713170</v>
      </c>
      <c r="F79" s="15">
        <f>SUM(F61:F78)</f>
        <v>1085503</v>
      </c>
      <c r="G79" s="16">
        <f>SUM(G61:G78)</f>
        <v>6798673</v>
      </c>
      <c r="H79" s="17">
        <f>SUM(H61:H78)</f>
        <v>777125</v>
      </c>
      <c r="I79" s="17"/>
      <c r="J79" s="18">
        <f>COUNTIF(J61:J78,TRUE())</f>
        <v>7</v>
      </c>
      <c r="K79" s="19"/>
    </row>
    <row r="80" ht="17.5" customHeight="1">
      <c r="A80" s="20"/>
      <c r="B80" s="5"/>
      <c r="C80" s="20"/>
      <c r="D80" s="21"/>
      <c r="E80" s="20"/>
      <c r="F80" s="20"/>
      <c r="G80" s="20"/>
      <c r="H80" s="22"/>
      <c r="I80" s="22"/>
      <c r="J80" s="20"/>
      <c r="K80" s="20"/>
    </row>
    <row r="81" ht="17" customHeight="1">
      <c r="A81" t="s" s="3">
        <v>1</v>
      </c>
      <c r="B81" t="s" s="3">
        <v>2</v>
      </c>
      <c r="C81" t="s" s="3">
        <v>3</v>
      </c>
      <c r="D81" t="s" s="3">
        <v>4</v>
      </c>
      <c r="E81" t="s" s="3">
        <v>5</v>
      </c>
      <c r="F81" t="s" s="3">
        <v>6</v>
      </c>
      <c r="G81" t="s" s="3">
        <v>7</v>
      </c>
      <c r="H81" s="7"/>
      <c r="I81" s="7"/>
      <c r="J81" s="8"/>
      <c r="K81" s="8"/>
    </row>
    <row r="82" ht="17" customHeight="1">
      <c r="A82" s="4">
        <v>63</v>
      </c>
      <c r="B82" s="5">
        <v>40604</v>
      </c>
      <c r="C82" t="s" s="3">
        <v>33</v>
      </c>
      <c r="D82" t="s" s="3">
        <v>68</v>
      </c>
      <c r="E82" s="6">
        <v>449948</v>
      </c>
      <c r="F82" s="6">
        <f>E82*0.19</f>
        <v>85490.12</v>
      </c>
      <c r="G82" s="6">
        <f>E82+F82</f>
        <v>535438.12</v>
      </c>
      <c r="H82" s="7">
        <f>IF(J82=TRUE(),E82,0)</f>
        <v>0</v>
      </c>
      <c r="I82" s="7">
        <f>IF(K82=TRUE(),E82,0)</f>
        <v>0</v>
      </c>
      <c r="J82" t="b" s="4">
        <v>0</v>
      </c>
      <c r="K82" t="b" s="4">
        <v>0</v>
      </c>
    </row>
    <row r="83" ht="17" customHeight="1">
      <c r="A83" t="s" s="3">
        <v>69</v>
      </c>
      <c r="B83" s="5">
        <v>40633</v>
      </c>
      <c r="C83" t="s" s="3">
        <v>33</v>
      </c>
      <c r="D83" t="s" s="3">
        <v>68</v>
      </c>
      <c r="E83" s="6">
        <v>-449948</v>
      </c>
      <c r="F83" s="6">
        <f>E83*0.19</f>
        <v>-85490.12</v>
      </c>
      <c r="G83" s="6">
        <f>E83+F83</f>
        <v>-535438.12</v>
      </c>
      <c r="H83" s="7">
        <f>IF(J83=TRUE(),E83,0)</f>
        <v>0</v>
      </c>
      <c r="I83" s="7">
        <f>IF(K83=TRUE(),E83,0)</f>
        <v>0</v>
      </c>
      <c r="J83" t="b" s="4">
        <v>0</v>
      </c>
      <c r="K83" t="b" s="4">
        <v>0</v>
      </c>
    </row>
    <row r="84" ht="17" customHeight="1">
      <c r="A84" s="4">
        <v>64</v>
      </c>
      <c r="B84" s="5">
        <v>40604</v>
      </c>
      <c r="C84" t="s" s="3">
        <v>30</v>
      </c>
      <c r="D84" t="s" s="3">
        <v>70</v>
      </c>
      <c r="E84" s="6">
        <v>74000</v>
      </c>
      <c r="F84" s="6">
        <f>E84*0.19</f>
        <v>14060</v>
      </c>
      <c r="G84" s="6">
        <f>E84+F84</f>
        <v>88060</v>
      </c>
      <c r="H84" s="7">
        <f>IF(J84=TRUE(),E84,0)</f>
        <v>74000</v>
      </c>
      <c r="I84" s="7">
        <f>IF(K84=TRUE(),E84,0)</f>
        <v>0</v>
      </c>
      <c r="J84" t="b" s="4">
        <v>1</v>
      </c>
      <c r="K84" t="b" s="4">
        <v>0</v>
      </c>
    </row>
    <row r="85" ht="17" customHeight="1">
      <c r="A85" s="4">
        <v>66</v>
      </c>
      <c r="B85" s="5">
        <v>40605</v>
      </c>
      <c r="C85" t="s" s="3">
        <v>66</v>
      </c>
      <c r="D85" t="s" s="3">
        <v>70</v>
      </c>
      <c r="E85" s="6">
        <v>91000</v>
      </c>
      <c r="F85" s="6">
        <f>E85*0.19</f>
        <v>17290</v>
      </c>
      <c r="G85" s="6">
        <f>E85+F85</f>
        <v>108290</v>
      </c>
      <c r="H85" s="7">
        <f>IF(J85=TRUE(),E85,0)</f>
        <v>91000</v>
      </c>
      <c r="I85" s="7">
        <f>IF(K85=TRUE(),E85,0)</f>
        <v>0</v>
      </c>
      <c r="J85" t="b" s="4">
        <v>1</v>
      </c>
      <c r="K85" t="b" s="4">
        <v>0</v>
      </c>
    </row>
    <row r="86" ht="17" customHeight="1">
      <c r="A86" s="4">
        <v>67</v>
      </c>
      <c r="B86" s="5">
        <v>40606</v>
      </c>
      <c r="C86" t="s" s="3">
        <v>22</v>
      </c>
      <c r="D86" t="s" s="3">
        <v>70</v>
      </c>
      <c r="E86" s="6">
        <v>149100</v>
      </c>
      <c r="F86" s="6">
        <f>E86*0.19</f>
        <v>28329</v>
      </c>
      <c r="G86" s="6">
        <f>E86+F86</f>
        <v>177429</v>
      </c>
      <c r="H86" s="7">
        <f>IF(J86=TRUE(),E86,0)</f>
        <v>0</v>
      </c>
      <c r="I86" s="7">
        <f>IF(K86=TRUE(),E86,0)</f>
        <v>0</v>
      </c>
      <c r="J86" t="b" s="4">
        <v>0</v>
      </c>
      <c r="K86" t="b" s="4">
        <v>0</v>
      </c>
    </row>
    <row r="87" ht="17" customHeight="1">
      <c r="A87" s="4">
        <v>68</v>
      </c>
      <c r="B87" s="5">
        <v>40606</v>
      </c>
      <c r="C87" t="s" s="3">
        <v>10</v>
      </c>
      <c r="D87" t="s" s="3">
        <v>71</v>
      </c>
      <c r="E87" s="6">
        <v>216000</v>
      </c>
      <c r="F87" s="6">
        <f>E87*0.19</f>
        <v>41040</v>
      </c>
      <c r="G87" s="6">
        <f>E87+F87</f>
        <v>257040</v>
      </c>
      <c r="H87" s="7">
        <f>IF(J87=TRUE(),E87,0)</f>
        <v>0</v>
      </c>
      <c r="I87" s="7">
        <f>IF(K87=TRUE(),E87,0)</f>
        <v>0</v>
      </c>
      <c r="J87" t="b" s="4">
        <v>0</v>
      </c>
      <c r="K87" t="b" s="4">
        <v>0</v>
      </c>
    </row>
    <row r="88" ht="17" customHeight="1">
      <c r="A88" s="4">
        <v>69</v>
      </c>
      <c r="B88" s="5">
        <v>40606</v>
      </c>
      <c r="C88" t="s" s="3">
        <v>30</v>
      </c>
      <c r="D88" t="s" s="3">
        <v>72</v>
      </c>
      <c r="E88" s="6">
        <v>142500</v>
      </c>
      <c r="F88" s="6">
        <f>E88*0.19</f>
        <v>27075</v>
      </c>
      <c r="G88" s="6">
        <f>E88+F88</f>
        <v>169575</v>
      </c>
      <c r="H88" s="7">
        <f>IF(J88=TRUE(),E88,0)</f>
        <v>0</v>
      </c>
      <c r="I88" s="7">
        <f>IF(K88=TRUE(),E88,0)</f>
        <v>0</v>
      </c>
      <c r="J88" t="b" s="4">
        <v>0</v>
      </c>
      <c r="K88" t="b" s="4">
        <v>0</v>
      </c>
    </row>
    <row r="89" ht="17" customHeight="1">
      <c r="A89" s="4">
        <v>70</v>
      </c>
      <c r="B89" s="5">
        <v>40606</v>
      </c>
      <c r="C89" t="s" s="3">
        <v>30</v>
      </c>
      <c r="D89" t="s" s="3">
        <v>73</v>
      </c>
      <c r="E89" s="6">
        <v>387000</v>
      </c>
      <c r="F89" s="6">
        <f>E89*0.19</f>
        <v>73530</v>
      </c>
      <c r="G89" s="6">
        <f>E89+F89</f>
        <v>460530</v>
      </c>
      <c r="H89" s="7">
        <f>IF(J89=TRUE(),E89,0)</f>
        <v>0</v>
      </c>
      <c r="I89" s="7">
        <f>IF(K89=TRUE(),E89,0)</f>
        <v>0</v>
      </c>
      <c r="J89" t="b" s="4">
        <v>0</v>
      </c>
      <c r="K89" t="b" s="4">
        <v>0</v>
      </c>
    </row>
    <row r="90" ht="17" customHeight="1">
      <c r="A90" s="4">
        <v>71</v>
      </c>
      <c r="B90" s="5">
        <v>40611</v>
      </c>
      <c r="C90" t="s" s="3">
        <v>56</v>
      </c>
      <c r="D90" t="s" s="3">
        <v>70</v>
      </c>
      <c r="E90" s="6">
        <v>125000</v>
      </c>
      <c r="F90" s="6">
        <v>23750</v>
      </c>
      <c r="G90" s="6">
        <v>148750</v>
      </c>
      <c r="H90" s="7">
        <f>IF(J90=TRUE(),E90,0)</f>
        <v>125000</v>
      </c>
      <c r="I90" s="7">
        <f>IF(K90=TRUE(),E90,0)</f>
        <v>0</v>
      </c>
      <c r="J90" t="b" s="4">
        <v>1</v>
      </c>
      <c r="K90" t="b" s="4">
        <v>0</v>
      </c>
    </row>
    <row r="91" ht="17" customHeight="1">
      <c r="A91" s="4">
        <v>73</v>
      </c>
      <c r="B91" s="5">
        <v>40616</v>
      </c>
      <c r="C91" t="s" s="3">
        <v>60</v>
      </c>
      <c r="D91" t="s" s="3">
        <v>74</v>
      </c>
      <c r="E91" s="6">
        <v>75000</v>
      </c>
      <c r="F91" s="6">
        <f>E91*0.19</f>
        <v>14250</v>
      </c>
      <c r="G91" s="6">
        <f>E91+F91</f>
        <v>89250</v>
      </c>
      <c r="H91" s="7">
        <f>IF(J91=TRUE(),E91,0)</f>
        <v>0</v>
      </c>
      <c r="I91" s="7">
        <f>IF(K91=TRUE(),E91,0)</f>
        <v>0</v>
      </c>
      <c r="J91" t="b" s="4">
        <v>0</v>
      </c>
      <c r="K91" t="b" s="4">
        <v>0</v>
      </c>
    </row>
    <row r="92" ht="17" customHeight="1">
      <c r="A92" s="4">
        <v>74</v>
      </c>
      <c r="B92" s="5">
        <v>40617</v>
      </c>
      <c r="C92" t="s" s="3">
        <v>56</v>
      </c>
      <c r="D92" t="s" s="3">
        <v>75</v>
      </c>
      <c r="E92" s="6">
        <v>184700</v>
      </c>
      <c r="F92" s="6">
        <f>E92*0.19</f>
        <v>35093</v>
      </c>
      <c r="G92" s="6">
        <f>E92+F92</f>
        <v>219793</v>
      </c>
      <c r="H92" s="7">
        <f>IF(J92=TRUE(),E92,0)</f>
        <v>0</v>
      </c>
      <c r="I92" s="7">
        <f>IF(K92=TRUE(),E92,0)</f>
        <v>0</v>
      </c>
      <c r="J92" t="b" s="4">
        <v>0</v>
      </c>
      <c r="K92" t="b" s="4">
        <v>0</v>
      </c>
    </row>
    <row r="93" ht="17" customHeight="1">
      <c r="A93" s="4">
        <v>75</v>
      </c>
      <c r="B93" s="5">
        <v>40624</v>
      </c>
      <c r="C93" t="s" s="3">
        <v>60</v>
      </c>
      <c r="D93" t="s" s="3">
        <v>70</v>
      </c>
      <c r="E93" s="6">
        <v>30625</v>
      </c>
      <c r="F93" s="6">
        <f>E93*0.19</f>
        <v>5818.75</v>
      </c>
      <c r="G93" s="6">
        <f>E93+F93</f>
        <v>36443.75</v>
      </c>
      <c r="H93" s="7">
        <f>IF(J93=TRUE(),E93,0)</f>
        <v>30625</v>
      </c>
      <c r="I93" s="7">
        <f>IF(K93=TRUE(),E93,0)</f>
        <v>0</v>
      </c>
      <c r="J93" t="b" s="4">
        <v>1</v>
      </c>
      <c r="K93" t="b" s="4">
        <v>0</v>
      </c>
    </row>
    <row r="94" ht="17" customHeight="1">
      <c r="A94" s="4">
        <v>76</v>
      </c>
      <c r="B94" s="5">
        <v>40624</v>
      </c>
      <c r="C94" t="s" s="3">
        <v>42</v>
      </c>
      <c r="D94" t="s" s="3">
        <v>70</v>
      </c>
      <c r="E94" s="6">
        <v>157500</v>
      </c>
      <c r="F94" s="6">
        <f>E94*0.19</f>
        <v>29925</v>
      </c>
      <c r="G94" s="6">
        <f>E94+F94</f>
        <v>187425</v>
      </c>
      <c r="H94" s="7">
        <f>IF(J94=TRUE(),E94,0)</f>
        <v>157500</v>
      </c>
      <c r="I94" s="7">
        <f>IF(K94=TRUE(),E94,0)</f>
        <v>0</v>
      </c>
      <c r="J94" t="b" s="4">
        <v>1</v>
      </c>
      <c r="K94" t="b" s="4">
        <v>0</v>
      </c>
    </row>
    <row r="95" ht="17" customHeight="1">
      <c r="A95" s="4">
        <v>77</v>
      </c>
      <c r="B95" s="5">
        <v>40624</v>
      </c>
      <c r="C95" t="s" s="3">
        <v>76</v>
      </c>
      <c r="D95" t="s" s="3">
        <v>77</v>
      </c>
      <c r="E95" s="6">
        <v>630073</v>
      </c>
      <c r="F95" s="6">
        <f>E95*0.19</f>
        <v>119713.87</v>
      </c>
      <c r="G95" s="6">
        <f>E95+F95</f>
        <v>749786.87</v>
      </c>
      <c r="H95" s="7">
        <f>IF(J95=TRUE(),E95,0)</f>
        <v>0</v>
      </c>
      <c r="I95" s="7">
        <f>IF(K95=TRUE(),E95,0)</f>
        <v>0</v>
      </c>
      <c r="J95" t="b" s="4">
        <v>0</v>
      </c>
      <c r="K95" t="b" s="4">
        <v>0</v>
      </c>
    </row>
    <row r="96" ht="17" customHeight="1">
      <c r="A96" s="4">
        <v>78</v>
      </c>
      <c r="B96" s="5">
        <v>40626</v>
      </c>
      <c r="C96" t="s" s="3">
        <v>40</v>
      </c>
      <c r="D96" t="s" s="3">
        <v>70</v>
      </c>
      <c r="E96" s="6">
        <v>158000</v>
      </c>
      <c r="F96" s="6">
        <f>E96*0.19</f>
        <v>30020</v>
      </c>
      <c r="G96" s="6">
        <f>E96+F96</f>
        <v>188020</v>
      </c>
      <c r="H96" s="7">
        <f>IF(J96=TRUE(),E96,0)</f>
        <v>158000</v>
      </c>
      <c r="I96" s="7">
        <f>IF(K96=TRUE(),E96,0)</f>
        <v>0</v>
      </c>
      <c r="J96" t="b" s="4">
        <v>1</v>
      </c>
      <c r="K96" t="b" s="4">
        <v>0</v>
      </c>
    </row>
    <row r="97" ht="17" customHeight="1">
      <c r="A97" s="4">
        <v>79</v>
      </c>
      <c r="B97" s="5">
        <v>40627</v>
      </c>
      <c r="C97" t="s" s="3">
        <v>22</v>
      </c>
      <c r="D97" t="s" s="3">
        <v>78</v>
      </c>
      <c r="E97" s="6">
        <v>37000</v>
      </c>
      <c r="F97" s="6">
        <f>E97*0.19</f>
        <v>7030</v>
      </c>
      <c r="G97" s="6">
        <f>E97+F97</f>
        <v>44030</v>
      </c>
      <c r="H97" s="7">
        <f>IF(J97=TRUE(),E97,0)</f>
        <v>0</v>
      </c>
      <c r="I97" s="7">
        <f>IF(K97=TRUE(),E97,0)</f>
        <v>0</v>
      </c>
      <c r="J97" t="b" s="4">
        <v>0</v>
      </c>
      <c r="K97" t="b" s="4">
        <v>0</v>
      </c>
    </row>
    <row r="98" ht="17" customHeight="1">
      <c r="A98" s="4">
        <v>80</v>
      </c>
      <c r="B98" s="5">
        <v>40629</v>
      </c>
      <c r="C98" t="s" s="3">
        <v>66</v>
      </c>
      <c r="D98" t="s" s="3">
        <v>79</v>
      </c>
      <c r="E98" s="6">
        <v>202150</v>
      </c>
      <c r="F98" s="6">
        <f>E98*0.19</f>
        <v>38408.5</v>
      </c>
      <c r="G98" s="6">
        <f>E98+F98</f>
        <v>240558.5</v>
      </c>
      <c r="H98" s="7">
        <f>IF(J98=TRUE(),E98,0)</f>
        <v>0</v>
      </c>
      <c r="I98" s="7">
        <f>IF(K98=TRUE(),E98,0)</f>
        <v>0</v>
      </c>
      <c r="J98" t="b" s="4">
        <v>0</v>
      </c>
      <c r="K98" t="b" s="4">
        <v>0</v>
      </c>
    </row>
    <row r="99" ht="17" customHeight="1">
      <c r="A99" s="4">
        <v>81</v>
      </c>
      <c r="B99" s="5">
        <v>40632</v>
      </c>
      <c r="C99" t="s" s="3">
        <v>54</v>
      </c>
      <c r="D99" t="s" s="3">
        <v>80</v>
      </c>
      <c r="E99" s="6">
        <v>39500</v>
      </c>
      <c r="F99" s="6">
        <f>E99*0.19</f>
        <v>7505</v>
      </c>
      <c r="G99" s="6">
        <f>E99+F99</f>
        <v>47005</v>
      </c>
      <c r="H99" s="7">
        <f>IF(J99=TRUE(),E99,0)</f>
        <v>0</v>
      </c>
      <c r="I99" s="7">
        <f>IF(K99=TRUE(),E99,0)</f>
        <v>0</v>
      </c>
      <c r="J99" t="b" s="4">
        <v>0</v>
      </c>
      <c r="K99" t="b" s="4">
        <v>0</v>
      </c>
    </row>
    <row r="100" ht="17" customHeight="1">
      <c r="A100" s="4">
        <v>82</v>
      </c>
      <c r="B100" s="5">
        <v>40633</v>
      </c>
      <c r="C100" t="s" s="3">
        <v>26</v>
      </c>
      <c r="D100" t="s" s="3">
        <v>80</v>
      </c>
      <c r="E100" s="6">
        <v>39500</v>
      </c>
      <c r="F100" s="6">
        <f>E100*0.19</f>
        <v>7505</v>
      </c>
      <c r="G100" s="6">
        <f>E100+F100</f>
        <v>47005</v>
      </c>
      <c r="H100" s="7">
        <f>IF(J100=TRUE(),E100,0)</f>
        <v>0</v>
      </c>
      <c r="I100" s="7">
        <f>IF(K100=TRUE(),E100,0)</f>
        <v>0</v>
      </c>
      <c r="J100" t="b" s="4">
        <v>0</v>
      </c>
      <c r="K100" t="b" s="4">
        <v>0</v>
      </c>
    </row>
    <row r="101" ht="17" customHeight="1">
      <c r="A101" s="4">
        <v>83</v>
      </c>
      <c r="B101" s="5">
        <v>40633</v>
      </c>
      <c r="C101" t="s" s="3">
        <v>81</v>
      </c>
      <c r="D101" t="s" s="3">
        <v>82</v>
      </c>
      <c r="E101" s="6">
        <v>45000</v>
      </c>
      <c r="F101" s="6">
        <f>E101*0.19</f>
        <v>8550</v>
      </c>
      <c r="G101" s="6">
        <f>E101+F101</f>
        <v>53550</v>
      </c>
      <c r="H101" s="7">
        <f>IF(J101=TRUE(),E101,0)</f>
        <v>0</v>
      </c>
      <c r="I101" s="7">
        <f>IF(K101=TRUE(),E101,0)</f>
        <v>0</v>
      </c>
      <c r="J101" t="b" s="4">
        <v>0</v>
      </c>
      <c r="K101" t="b" s="4">
        <v>0</v>
      </c>
    </row>
    <row r="102" ht="17.5" customHeight="1">
      <c r="A102" s="9">
        <v>84</v>
      </c>
      <c r="B102" s="5">
        <v>40633</v>
      </c>
      <c r="C102" t="s" s="10">
        <v>29</v>
      </c>
      <c r="D102" t="s" s="10">
        <v>82</v>
      </c>
      <c r="E102" s="11">
        <v>349099</v>
      </c>
      <c r="F102" s="11">
        <f>E102*0.19</f>
        <v>66328.81</v>
      </c>
      <c r="G102" s="11">
        <f>E102+F102</f>
        <v>415427.81</v>
      </c>
      <c r="H102" s="12">
        <f>IF(J102=TRUE(),E102,0)</f>
        <v>0</v>
      </c>
      <c r="I102" s="12">
        <f>IF(K102=TRUE(),E102,0)</f>
        <v>0</v>
      </c>
      <c r="J102" t="b" s="9">
        <v>0</v>
      </c>
      <c r="K102" t="b" s="9">
        <v>0</v>
      </c>
    </row>
    <row r="103" ht="18" customHeight="1">
      <c r="A103" s="13">
        <v>21</v>
      </c>
      <c r="B103" t="s" s="3">
        <v>83</v>
      </c>
      <c r="C103" t="s" s="14">
        <v>7</v>
      </c>
      <c r="D103" s="14"/>
      <c r="E103" s="15">
        <f>SUM(E82:E102)</f>
        <v>3132747</v>
      </c>
      <c r="F103" s="15">
        <f>SUM(F82:F102)</f>
        <v>595221.9299999999</v>
      </c>
      <c r="G103" s="16">
        <f>SUM(G82:G102)</f>
        <v>3727968.93</v>
      </c>
      <c r="H103" s="17">
        <f>SUM(H82:H102)</f>
        <v>636125</v>
      </c>
      <c r="I103" s="17"/>
      <c r="J103" s="18">
        <f>COUNTIF(J82:J102,TRUE())</f>
        <v>6</v>
      </c>
      <c r="K103" s="19"/>
    </row>
    <row r="104" ht="17.5" customHeight="1">
      <c r="A104" s="20"/>
      <c r="B104" s="5"/>
      <c r="C104" s="20"/>
      <c r="D104" s="21"/>
      <c r="E104" s="20"/>
      <c r="F104" s="20"/>
      <c r="G104" s="20"/>
      <c r="H104" s="22"/>
      <c r="I104" s="22"/>
      <c r="J104" s="20"/>
      <c r="K104" s="20"/>
    </row>
    <row r="105" ht="17" customHeight="1">
      <c r="A105" t="s" s="3">
        <v>1</v>
      </c>
      <c r="B105" t="s" s="3">
        <v>2</v>
      </c>
      <c r="C105" t="s" s="3">
        <v>3</v>
      </c>
      <c r="D105" t="s" s="3">
        <v>4</v>
      </c>
      <c r="E105" t="s" s="3">
        <v>5</v>
      </c>
      <c r="F105" t="s" s="3">
        <v>6</v>
      </c>
      <c r="G105" t="s" s="3">
        <v>7</v>
      </c>
      <c r="H105" s="7"/>
      <c r="I105" s="7"/>
      <c r="J105" s="8"/>
      <c r="K105" s="8"/>
    </row>
    <row r="106" ht="17" customHeight="1">
      <c r="A106" s="4">
        <v>85</v>
      </c>
      <c r="B106" s="5">
        <v>40634</v>
      </c>
      <c r="C106" t="s" s="3">
        <v>22</v>
      </c>
      <c r="D106" t="s" s="3">
        <v>84</v>
      </c>
      <c r="E106" s="6">
        <v>149100</v>
      </c>
      <c r="F106" s="6">
        <f>E106*0.19</f>
        <v>28329</v>
      </c>
      <c r="G106" s="6">
        <f>E106+F106</f>
        <v>177429</v>
      </c>
      <c r="H106" s="7">
        <f>IF(J106=TRUE(),E106,0)</f>
        <v>149100</v>
      </c>
      <c r="I106" s="7">
        <f>IF(K106=TRUE(),E106,0)</f>
        <v>0</v>
      </c>
      <c r="J106" t="b" s="4">
        <v>1</v>
      </c>
      <c r="K106" t="b" s="4">
        <v>0</v>
      </c>
    </row>
    <row r="107" ht="17" customHeight="1">
      <c r="A107" s="4">
        <v>86</v>
      </c>
      <c r="B107" s="5">
        <v>40634</v>
      </c>
      <c r="C107" t="s" s="3">
        <v>30</v>
      </c>
      <c r="D107" t="s" s="3">
        <v>84</v>
      </c>
      <c r="E107" s="6">
        <v>74000</v>
      </c>
      <c r="F107" s="6">
        <f>E107*0.19</f>
        <v>14060</v>
      </c>
      <c r="G107" s="6">
        <f>E107+F107</f>
        <v>88060</v>
      </c>
      <c r="H107" s="7">
        <f>IF(J107=TRUE(),E107,0)</f>
        <v>74000</v>
      </c>
      <c r="I107" s="7">
        <f>IF(K107=TRUE(),E107,0)</f>
        <v>0</v>
      </c>
      <c r="J107" t="b" s="4">
        <v>1</v>
      </c>
      <c r="K107" t="b" s="4">
        <v>0</v>
      </c>
    </row>
    <row r="108" ht="17" customHeight="1">
      <c r="A108" s="4">
        <v>87</v>
      </c>
      <c r="B108" s="5">
        <v>40634</v>
      </c>
      <c r="C108" t="s" s="3">
        <v>56</v>
      </c>
      <c r="D108" t="s" s="3">
        <v>84</v>
      </c>
      <c r="E108" s="6">
        <v>125000</v>
      </c>
      <c r="F108" s="6">
        <f>E108*0.19</f>
        <v>23750</v>
      </c>
      <c r="G108" s="6">
        <f>E108+F108</f>
        <v>148750</v>
      </c>
      <c r="H108" s="7">
        <f>IF(J108=TRUE(),E108,0)</f>
        <v>125000</v>
      </c>
      <c r="I108" s="7">
        <f>IF(K108=TRUE(),E108,0)</f>
        <v>0</v>
      </c>
      <c r="J108" t="b" s="4">
        <v>1</v>
      </c>
      <c r="K108" t="b" s="4">
        <v>0</v>
      </c>
    </row>
    <row r="109" ht="17" customHeight="1">
      <c r="A109" s="4">
        <v>88</v>
      </c>
      <c r="B109" s="5">
        <v>40637</v>
      </c>
      <c r="C109" t="s" s="3">
        <v>76</v>
      </c>
      <c r="D109" t="s" s="3">
        <v>85</v>
      </c>
      <c r="E109" s="6">
        <v>238955</v>
      </c>
      <c r="F109" s="6">
        <f>E109*0.19</f>
        <v>45401.45</v>
      </c>
      <c r="G109" s="6">
        <f>E109+F109</f>
        <v>284356.45</v>
      </c>
      <c r="H109" s="7">
        <f>IF(J109=TRUE(),E109,0)</f>
        <v>0</v>
      </c>
      <c r="I109" s="7">
        <f>IF(K109=TRUE(),E109,0)</f>
        <v>0</v>
      </c>
      <c r="J109" t="b" s="4">
        <v>0</v>
      </c>
      <c r="K109" t="b" s="4">
        <v>0</v>
      </c>
    </row>
    <row r="110" ht="17" customHeight="1">
      <c r="A110" s="4">
        <v>89</v>
      </c>
      <c r="B110" s="5"/>
      <c r="C110" t="s" s="3">
        <v>11</v>
      </c>
      <c r="D110" s="3"/>
      <c r="E110" s="8"/>
      <c r="F110" s="6">
        <f>E110*0.19</f>
        <v>0</v>
      </c>
      <c r="G110" s="6">
        <f>E110+F110</f>
        <v>0</v>
      </c>
      <c r="H110" s="7">
        <f>IF(J110=TRUE(),E110,0)</f>
        <v>0</v>
      </c>
      <c r="I110" s="7">
        <f>IF(K110=TRUE(),E110,0)</f>
        <v>0</v>
      </c>
      <c r="J110" t="b" s="4">
        <v>0</v>
      </c>
      <c r="K110" t="b" s="4">
        <v>0</v>
      </c>
    </row>
    <row r="111" ht="17" customHeight="1">
      <c r="A111" s="4">
        <v>90</v>
      </c>
      <c r="B111" s="5">
        <v>40639</v>
      </c>
      <c r="C111" t="s" s="3">
        <v>26</v>
      </c>
      <c r="D111" t="s" s="3">
        <v>86</v>
      </c>
      <c r="E111" s="6">
        <v>18000</v>
      </c>
      <c r="F111" s="6">
        <f>E111*0.19</f>
        <v>3420</v>
      </c>
      <c r="G111" s="6">
        <f>E111+F111</f>
        <v>21420</v>
      </c>
      <c r="H111" s="7">
        <f>IF(J111=TRUE(),E111,0)</f>
        <v>0</v>
      </c>
      <c r="I111" s="7">
        <f>IF(K111=TRUE(),E111,0)</f>
        <v>0</v>
      </c>
      <c r="J111" t="b" s="4">
        <v>0</v>
      </c>
      <c r="K111" t="b" s="4">
        <v>0</v>
      </c>
    </row>
    <row r="112" ht="17" customHeight="1">
      <c r="A112" s="4">
        <v>91</v>
      </c>
      <c r="B112" s="5">
        <v>40645</v>
      </c>
      <c r="C112" t="s" s="3">
        <v>54</v>
      </c>
      <c r="D112" t="s" s="3">
        <v>87</v>
      </c>
      <c r="E112" s="6">
        <v>326600</v>
      </c>
      <c r="F112" s="6">
        <f>E112*0.19</f>
        <v>62054</v>
      </c>
      <c r="G112" s="6">
        <f>E112+F112</f>
        <v>388654</v>
      </c>
      <c r="H112" s="7">
        <f>IF(J112=TRUE(),E112,0)</f>
        <v>0</v>
      </c>
      <c r="I112" s="7">
        <f>IF(K112=TRUE(),E112,0)</f>
        <v>0</v>
      </c>
      <c r="J112" t="b" s="4">
        <v>0</v>
      </c>
      <c r="K112" t="b" s="4">
        <v>0</v>
      </c>
    </row>
    <row r="113" ht="17" customHeight="1">
      <c r="A113" s="4">
        <v>92</v>
      </c>
      <c r="B113" s="5">
        <v>40646</v>
      </c>
      <c r="C113" t="s" s="3">
        <v>66</v>
      </c>
      <c r="D113" t="s" s="3">
        <v>84</v>
      </c>
      <c r="E113" s="6">
        <v>91000</v>
      </c>
      <c r="F113" s="6">
        <f>E113*0.19</f>
        <v>17290</v>
      </c>
      <c r="G113" s="6">
        <f>E113+F113</f>
        <v>108290</v>
      </c>
      <c r="H113" s="7">
        <f>IF(J113=TRUE(),E113,0)</f>
        <v>91000</v>
      </c>
      <c r="I113" s="7">
        <f>IF(K113=TRUE(),E113,0)</f>
        <v>0</v>
      </c>
      <c r="J113" t="b" s="4">
        <v>1</v>
      </c>
      <c r="K113" t="b" s="4">
        <v>0</v>
      </c>
    </row>
    <row r="114" ht="17" customHeight="1">
      <c r="A114" s="4">
        <v>93</v>
      </c>
      <c r="B114" s="5">
        <v>40646</v>
      </c>
      <c r="C114" t="s" s="3">
        <v>33</v>
      </c>
      <c r="D114" t="s" s="3">
        <v>88</v>
      </c>
      <c r="E114" s="6">
        <v>230000</v>
      </c>
      <c r="F114" s="6">
        <f>E114*0.19</f>
        <v>43700</v>
      </c>
      <c r="G114" s="6">
        <f>E114+F114</f>
        <v>273700</v>
      </c>
      <c r="H114" s="7">
        <f>IF(J114=TRUE(),E114,0)</f>
        <v>0</v>
      </c>
      <c r="I114" s="7">
        <f>IF(K114=TRUE(),E114,0)</f>
        <v>0</v>
      </c>
      <c r="J114" t="b" s="4">
        <v>0</v>
      </c>
      <c r="K114" t="b" s="4">
        <v>0</v>
      </c>
    </row>
    <row r="115" ht="17" customHeight="1">
      <c r="A115" s="4">
        <v>94</v>
      </c>
      <c r="B115" s="5">
        <v>40648</v>
      </c>
      <c r="C115" t="s" s="3">
        <v>49</v>
      </c>
      <c r="D115" t="s" s="3">
        <v>89</v>
      </c>
      <c r="E115" s="6">
        <v>352200</v>
      </c>
      <c r="F115" s="6">
        <f>E115*0.19</f>
        <v>66918</v>
      </c>
      <c r="G115" s="6">
        <f>E115+F115</f>
        <v>419118</v>
      </c>
      <c r="H115" s="7">
        <f>IF(J115=TRUE(),E115,0)</f>
        <v>0</v>
      </c>
      <c r="I115" s="7">
        <f>IF(K115=TRUE(),E115,0)</f>
        <v>0</v>
      </c>
      <c r="J115" t="b" s="4">
        <v>0</v>
      </c>
      <c r="K115" t="b" s="4">
        <v>0</v>
      </c>
    </row>
    <row r="116" ht="17" customHeight="1">
      <c r="A116" s="4">
        <v>95</v>
      </c>
      <c r="B116" s="5">
        <v>40651</v>
      </c>
      <c r="C116" t="s" s="3">
        <v>90</v>
      </c>
      <c r="D116" t="s" s="3">
        <v>91</v>
      </c>
      <c r="E116" s="6">
        <v>113000</v>
      </c>
      <c r="F116" s="6">
        <f>E116*0.19</f>
        <v>21470</v>
      </c>
      <c r="G116" s="6">
        <f>E116+F116</f>
        <v>134470</v>
      </c>
      <c r="H116" s="7">
        <f>IF(J116=TRUE(),E116,0)</f>
        <v>0</v>
      </c>
      <c r="I116" s="7">
        <f>IF(K116=TRUE(),E116,0)</f>
        <v>0</v>
      </c>
      <c r="J116" t="b" s="4">
        <v>0</v>
      </c>
      <c r="K116" t="b" s="4">
        <v>0</v>
      </c>
    </row>
    <row r="117" ht="17" customHeight="1">
      <c r="A117" s="4">
        <v>96</v>
      </c>
      <c r="B117" s="5">
        <v>40648</v>
      </c>
      <c r="C117" t="s" s="3">
        <v>92</v>
      </c>
      <c r="D117" t="s" s="3">
        <v>93</v>
      </c>
      <c r="E117" s="6">
        <v>202000</v>
      </c>
      <c r="F117" s="6">
        <f>E117*0.19</f>
        <v>38380</v>
      </c>
      <c r="G117" s="6">
        <f>E117+F117</f>
        <v>240380</v>
      </c>
      <c r="H117" s="7">
        <f>IF(J117=TRUE(),E117,0)</f>
        <v>0</v>
      </c>
      <c r="I117" s="7">
        <f>IF(K117=TRUE(),E117,0)</f>
        <v>0</v>
      </c>
      <c r="J117" t="b" s="4">
        <v>0</v>
      </c>
      <c r="K117" t="b" s="4">
        <v>0</v>
      </c>
    </row>
    <row r="118" ht="17" customHeight="1">
      <c r="A118" s="4">
        <v>97</v>
      </c>
      <c r="B118" s="5">
        <v>40651</v>
      </c>
      <c r="C118" t="s" s="3">
        <v>42</v>
      </c>
      <c r="D118" t="s" s="3">
        <v>84</v>
      </c>
      <c r="E118" s="6">
        <v>157500</v>
      </c>
      <c r="F118" s="6">
        <f>E118*0.19</f>
        <v>29925</v>
      </c>
      <c r="G118" s="6">
        <f>E118+F118</f>
        <v>187425</v>
      </c>
      <c r="H118" s="7">
        <f>IF(J118=TRUE(),E118,0)</f>
        <v>157500</v>
      </c>
      <c r="I118" s="7">
        <f>IF(K118=TRUE(),E118,0)</f>
        <v>0</v>
      </c>
      <c r="J118" t="b" s="4">
        <v>1</v>
      </c>
      <c r="K118" t="b" s="4">
        <v>0</v>
      </c>
    </row>
    <row r="119" ht="17" customHeight="1">
      <c r="A119" s="4">
        <v>98</v>
      </c>
      <c r="B119" s="5">
        <v>40651</v>
      </c>
      <c r="C119" t="s" s="3">
        <v>60</v>
      </c>
      <c r="D119" t="s" s="3">
        <v>84</v>
      </c>
      <c r="E119" s="6">
        <v>36444</v>
      </c>
      <c r="F119" s="6">
        <f>E119*0.19</f>
        <v>6924.36</v>
      </c>
      <c r="G119" s="6">
        <f>E119+F119</f>
        <v>43368.36</v>
      </c>
      <c r="H119" s="7">
        <f>IF(J119=TRUE(),E119,0)</f>
        <v>36444</v>
      </c>
      <c r="I119" s="7">
        <f>IF(K119=TRUE(),E119,0)</f>
        <v>0</v>
      </c>
      <c r="J119" t="b" s="4">
        <v>1</v>
      </c>
      <c r="K119" t="b" s="4">
        <v>0</v>
      </c>
    </row>
    <row r="120" ht="17" customHeight="1">
      <c r="A120" s="4">
        <v>99</v>
      </c>
      <c r="B120" s="5">
        <v>40653</v>
      </c>
      <c r="C120" t="s" s="3">
        <v>94</v>
      </c>
      <c r="D120" t="s" s="3">
        <v>95</v>
      </c>
      <c r="E120" s="6">
        <v>296310</v>
      </c>
      <c r="F120" s="6">
        <f>E120*0.19</f>
        <v>56298.9</v>
      </c>
      <c r="G120" s="6">
        <f>E120+F120</f>
        <v>352608.9</v>
      </c>
      <c r="H120" s="7">
        <f>IF(J120=TRUE(),E120,0)</f>
        <v>0</v>
      </c>
      <c r="I120" s="7">
        <f>IF(K120=TRUE(),E120,0)</f>
        <v>0</v>
      </c>
      <c r="J120" t="b" s="4">
        <v>0</v>
      </c>
      <c r="K120" t="b" s="4">
        <v>0</v>
      </c>
    </row>
    <row r="121" ht="17" customHeight="1">
      <c r="A121" s="4">
        <v>100</v>
      </c>
      <c r="B121" s="5">
        <v>40653</v>
      </c>
      <c r="C121" t="s" s="3">
        <v>40</v>
      </c>
      <c r="D121" t="s" s="3">
        <v>84</v>
      </c>
      <c r="E121" s="6">
        <v>158000</v>
      </c>
      <c r="F121" s="6">
        <f>E121*0.19</f>
        <v>30020</v>
      </c>
      <c r="G121" s="6">
        <f>E121+F121</f>
        <v>188020</v>
      </c>
      <c r="H121" s="7">
        <f>IF(J121=TRUE(),E121,0)</f>
        <v>158000</v>
      </c>
      <c r="I121" s="7">
        <f>IF(K121=TRUE(),E121,0)</f>
        <v>0</v>
      </c>
      <c r="J121" t="b" s="4">
        <v>1</v>
      </c>
      <c r="K121" t="b" s="4">
        <v>0</v>
      </c>
    </row>
    <row r="122" ht="17" customHeight="1">
      <c r="A122" s="4">
        <v>101</v>
      </c>
      <c r="B122" s="5">
        <v>40659</v>
      </c>
      <c r="C122" t="s" s="3">
        <v>19</v>
      </c>
      <c r="D122" t="s" s="3">
        <v>96</v>
      </c>
      <c r="E122" s="6">
        <v>942417</v>
      </c>
      <c r="F122" s="6">
        <f>E122*0.19</f>
        <v>179059.23</v>
      </c>
      <c r="G122" s="6">
        <f>E122+F122</f>
        <v>1121476.23</v>
      </c>
      <c r="H122" s="7">
        <f>IF(J122=TRUE(),E122,0)</f>
        <v>0</v>
      </c>
      <c r="I122" s="7">
        <f>IF(K122=TRUE(),E122,0)</f>
        <v>0</v>
      </c>
      <c r="J122" t="b" s="4">
        <v>0</v>
      </c>
      <c r="K122" t="b" s="4">
        <v>0</v>
      </c>
    </row>
    <row r="123" ht="17" customHeight="1">
      <c r="A123" s="4">
        <v>102</v>
      </c>
      <c r="B123" s="5">
        <v>40660</v>
      </c>
      <c r="C123" t="s" s="3">
        <v>33</v>
      </c>
      <c r="D123" t="s" s="3">
        <v>97</v>
      </c>
      <c r="E123" s="6">
        <v>998935</v>
      </c>
      <c r="F123" s="6">
        <f>E123*0.19</f>
        <v>189797.65</v>
      </c>
      <c r="G123" s="6">
        <f>E123+F123</f>
        <v>1188732.65</v>
      </c>
      <c r="H123" s="7">
        <f>IF(J123=TRUE(),E123,0)</f>
        <v>0</v>
      </c>
      <c r="I123" s="7">
        <f>IF(K123=TRUE(),E123,0)</f>
        <v>0</v>
      </c>
      <c r="J123" t="b" s="4">
        <v>0</v>
      </c>
      <c r="K123" t="b" s="4">
        <v>0</v>
      </c>
    </row>
    <row r="124" ht="17" customHeight="1">
      <c r="A124" s="4">
        <v>103</v>
      </c>
      <c r="B124" s="5">
        <v>40660</v>
      </c>
      <c r="C124" t="s" s="3">
        <v>98</v>
      </c>
      <c r="D124" t="s" s="3">
        <v>84</v>
      </c>
      <c r="E124" s="6">
        <v>266520</v>
      </c>
      <c r="F124" s="6">
        <f>E124*0.19</f>
        <v>50638.8</v>
      </c>
      <c r="G124" s="6">
        <f>E124+F124</f>
        <v>317158.8</v>
      </c>
      <c r="H124" s="7">
        <f>IF(J124=TRUE(),E124,0)</f>
        <v>266520</v>
      </c>
      <c r="I124" s="7">
        <f>IF(K124=TRUE(),E124,0)</f>
        <v>0</v>
      </c>
      <c r="J124" t="b" s="4">
        <v>1</v>
      </c>
      <c r="K124" t="b" s="4">
        <v>0</v>
      </c>
    </row>
    <row r="125" ht="17" customHeight="1">
      <c r="A125" s="4">
        <v>104</v>
      </c>
      <c r="B125" s="5">
        <v>40661</v>
      </c>
      <c r="C125" t="s" s="3">
        <v>92</v>
      </c>
      <c r="D125" t="s" s="3">
        <v>84</v>
      </c>
      <c r="E125" s="6">
        <v>641079</v>
      </c>
      <c r="F125" s="6">
        <f>E125*0.19</f>
        <v>121805.01</v>
      </c>
      <c r="G125" s="6">
        <f>E125+F125</f>
        <v>762884.01</v>
      </c>
      <c r="H125" s="7">
        <f>IF(J125=TRUE(),E125,0)</f>
        <v>641079</v>
      </c>
      <c r="I125" s="7">
        <f>IF(K125=TRUE(),E125,0)</f>
        <v>0</v>
      </c>
      <c r="J125" t="b" s="4">
        <v>1</v>
      </c>
      <c r="K125" t="b" s="4">
        <v>0</v>
      </c>
    </row>
    <row r="126" ht="17.5" customHeight="1">
      <c r="A126" s="9">
        <v>105</v>
      </c>
      <c r="B126" s="5">
        <v>40651</v>
      </c>
      <c r="C126" t="s" s="10">
        <v>92</v>
      </c>
      <c r="D126" t="s" s="10">
        <v>91</v>
      </c>
      <c r="E126" s="11">
        <v>113000</v>
      </c>
      <c r="F126" s="11">
        <f>E126*0.19</f>
        <v>21470</v>
      </c>
      <c r="G126" s="11">
        <f>E126+F126</f>
        <v>134470</v>
      </c>
      <c r="H126" s="12">
        <f>IF(J126=TRUE(),E126,0)</f>
        <v>0</v>
      </c>
      <c r="I126" s="12">
        <f>IF(K126=TRUE(),E126,0)</f>
        <v>0</v>
      </c>
      <c r="J126" t="b" s="9">
        <v>0</v>
      </c>
      <c r="K126" t="b" s="9">
        <v>0</v>
      </c>
    </row>
    <row r="127" ht="18" customHeight="1">
      <c r="A127" s="13">
        <f>COUNT(A106:A126)</f>
        <v>21</v>
      </c>
      <c r="B127" t="s" s="3">
        <v>99</v>
      </c>
      <c r="C127" t="s" s="14">
        <v>7</v>
      </c>
      <c r="D127" s="14"/>
      <c r="E127" s="15">
        <f>SUM(E106:E126)</f>
        <v>5530060</v>
      </c>
      <c r="F127" s="15">
        <f>SUM(F106:F126)</f>
        <v>1050711.4</v>
      </c>
      <c r="G127" s="16">
        <f>SUM(G106:G126)</f>
        <v>6580771.399999999</v>
      </c>
      <c r="H127" s="17">
        <f>SUM(H106:H126)</f>
        <v>1698643</v>
      </c>
      <c r="I127" s="17"/>
      <c r="J127" s="18">
        <f>COUNTIF(J106:J126,TRUE())</f>
        <v>9</v>
      </c>
      <c r="K127" s="19"/>
    </row>
    <row r="128" ht="17.5" customHeight="1">
      <c r="A128" s="20"/>
      <c r="B128" s="5"/>
      <c r="C128" s="20"/>
      <c r="D128" s="21"/>
      <c r="E128" s="20"/>
      <c r="F128" s="20"/>
      <c r="G128" s="20"/>
      <c r="H128" s="22"/>
      <c r="I128" s="22"/>
      <c r="J128" s="20"/>
      <c r="K128" s="20"/>
    </row>
    <row r="129" ht="17" customHeight="1">
      <c r="A129" t="s" s="3">
        <v>1</v>
      </c>
      <c r="B129" t="s" s="3">
        <v>2</v>
      </c>
      <c r="C129" t="s" s="3">
        <v>3</v>
      </c>
      <c r="D129" t="s" s="3">
        <v>4</v>
      </c>
      <c r="E129" t="s" s="3">
        <v>5</v>
      </c>
      <c r="F129" t="s" s="3">
        <v>6</v>
      </c>
      <c r="G129" t="s" s="3">
        <v>7</v>
      </c>
      <c r="H129" s="7"/>
      <c r="I129" s="7"/>
      <c r="J129" s="8"/>
      <c r="K129" s="8"/>
    </row>
    <row r="130" ht="17" customHeight="1">
      <c r="A130" t="s" s="3">
        <v>100</v>
      </c>
      <c r="B130" s="5">
        <v>40665</v>
      </c>
      <c r="C130" t="s" s="3">
        <f>C116</f>
        <v>90</v>
      </c>
      <c r="D130" t="s" s="3">
        <f>D116</f>
        <v>91</v>
      </c>
      <c r="E130" s="6">
        <v>-113000</v>
      </c>
      <c r="F130" s="6">
        <f>E130*0.19</f>
        <v>-21470</v>
      </c>
      <c r="G130" s="6">
        <f>E130+F130</f>
        <v>-134470</v>
      </c>
      <c r="H130" s="7">
        <f>IF(J130=TRUE(),E130,0)</f>
        <v>0</v>
      </c>
      <c r="I130" s="7">
        <f>IF(K130=TRUE(),E130,0)</f>
        <v>0</v>
      </c>
      <c r="J130" t="b" s="4">
        <v>0</v>
      </c>
      <c r="K130" t="b" s="4">
        <v>0</v>
      </c>
    </row>
    <row r="131" ht="17" customHeight="1">
      <c r="A131" s="4">
        <v>106</v>
      </c>
      <c r="B131" s="5">
        <v>40665</v>
      </c>
      <c r="C131" t="s" s="3">
        <v>22</v>
      </c>
      <c r="D131" t="s" s="3">
        <v>101</v>
      </c>
      <c r="E131" s="6">
        <v>149100</v>
      </c>
      <c r="F131" s="6">
        <f>E131*0.19</f>
        <v>28329</v>
      </c>
      <c r="G131" s="6">
        <f>E131+F131</f>
        <v>177429</v>
      </c>
      <c r="H131" s="7">
        <f>IF(J131=TRUE(),E131,0)</f>
        <v>149100</v>
      </c>
      <c r="I131" s="7">
        <f>IF(K131=TRUE(),E131,0)</f>
        <v>0</v>
      </c>
      <c r="J131" t="b" s="4">
        <v>1</v>
      </c>
      <c r="K131" t="b" s="4">
        <v>0</v>
      </c>
    </row>
    <row r="132" ht="17" customHeight="1">
      <c r="A132" s="4">
        <v>107</v>
      </c>
      <c r="B132" s="5">
        <v>40665</v>
      </c>
      <c r="C132" t="s" s="3">
        <v>30</v>
      </c>
      <c r="D132" t="s" s="3">
        <v>101</v>
      </c>
      <c r="E132" s="6">
        <v>74000</v>
      </c>
      <c r="F132" s="6">
        <f>E132*0.19</f>
        <v>14060</v>
      </c>
      <c r="G132" s="6">
        <f>E132+F132</f>
        <v>88060</v>
      </c>
      <c r="H132" s="7">
        <f>IF(J132=TRUE(),E132,0)</f>
        <v>74000</v>
      </c>
      <c r="I132" s="7">
        <f>IF(K132=TRUE(),E132,0)</f>
        <v>0</v>
      </c>
      <c r="J132" t="b" s="4">
        <v>1</v>
      </c>
      <c r="K132" t="b" s="4">
        <v>0</v>
      </c>
    </row>
    <row r="133" ht="17" customHeight="1">
      <c r="A133" s="4">
        <v>108</v>
      </c>
      <c r="B133" s="5">
        <v>40665</v>
      </c>
      <c r="C133" t="s" s="3">
        <v>56</v>
      </c>
      <c r="D133" t="s" s="3">
        <v>101</v>
      </c>
      <c r="E133" s="6">
        <v>125000</v>
      </c>
      <c r="F133" s="6">
        <f>E133*0.19</f>
        <v>23750</v>
      </c>
      <c r="G133" s="6">
        <f>E133+F133</f>
        <v>148750</v>
      </c>
      <c r="H133" s="7">
        <f>IF(J133=TRUE(),E133,0)</f>
        <v>125000</v>
      </c>
      <c r="I133" s="7">
        <f>IF(K133=TRUE(),E133,0)</f>
        <v>0</v>
      </c>
      <c r="J133" t="b" s="4">
        <v>1</v>
      </c>
      <c r="K133" t="b" s="4">
        <v>0</v>
      </c>
    </row>
    <row r="134" ht="17" customHeight="1">
      <c r="A134" s="4">
        <v>109</v>
      </c>
      <c r="B134" s="5">
        <v>40665</v>
      </c>
      <c r="C134" t="s" s="3">
        <v>66</v>
      </c>
      <c r="D134" t="s" s="3">
        <v>101</v>
      </c>
      <c r="E134" s="6">
        <v>91000</v>
      </c>
      <c r="F134" s="6">
        <f>E134*0.19</f>
        <v>17290</v>
      </c>
      <c r="G134" s="6">
        <f>E134+F134</f>
        <v>108290</v>
      </c>
      <c r="H134" s="7">
        <f>IF(J134=TRUE(),E134,0)</f>
        <v>91000</v>
      </c>
      <c r="I134" s="7">
        <f>IF(K134=TRUE(),E134,0)</f>
        <v>0</v>
      </c>
      <c r="J134" t="b" s="4">
        <v>1</v>
      </c>
      <c r="K134" t="b" s="4">
        <v>0</v>
      </c>
    </row>
    <row r="135" ht="17" customHeight="1">
      <c r="A135" s="4">
        <v>110</v>
      </c>
      <c r="B135" s="5">
        <v>40665</v>
      </c>
      <c r="C135" t="s" s="3">
        <v>42</v>
      </c>
      <c r="D135" t="s" s="3">
        <v>101</v>
      </c>
      <c r="E135" s="6">
        <v>157500</v>
      </c>
      <c r="F135" s="6">
        <f>E135*0.19</f>
        <v>29925</v>
      </c>
      <c r="G135" s="6">
        <f>E135+F135</f>
        <v>187425</v>
      </c>
      <c r="H135" s="7">
        <f>IF(J135=TRUE(),E135,0)</f>
        <v>157500</v>
      </c>
      <c r="I135" s="7">
        <f>IF(K135=TRUE(),E135,0)</f>
        <v>0</v>
      </c>
      <c r="J135" t="b" s="4">
        <v>1</v>
      </c>
      <c r="K135" t="b" s="4">
        <v>0</v>
      </c>
    </row>
    <row r="136" ht="17" customHeight="1">
      <c r="A136" s="4">
        <v>111</v>
      </c>
      <c r="B136" s="5">
        <v>40665</v>
      </c>
      <c r="C136" t="s" s="3">
        <v>60</v>
      </c>
      <c r="D136" t="s" s="3">
        <v>101</v>
      </c>
      <c r="E136" s="6">
        <v>30625</v>
      </c>
      <c r="F136" s="6">
        <f>E136*0.19</f>
        <v>5818.75</v>
      </c>
      <c r="G136" s="6">
        <f>E136+F136</f>
        <v>36443.75</v>
      </c>
      <c r="H136" s="7">
        <f>IF(J136=TRUE(),E136,0)</f>
        <v>30625</v>
      </c>
      <c r="I136" s="7">
        <f>IF(K136=TRUE(),E136,0)</f>
        <v>0</v>
      </c>
      <c r="J136" t="b" s="4">
        <v>1</v>
      </c>
      <c r="K136" t="b" s="4">
        <v>0</v>
      </c>
    </row>
    <row r="137" ht="17" customHeight="1">
      <c r="A137" s="4">
        <v>112</v>
      </c>
      <c r="B137" s="5">
        <v>40665</v>
      </c>
      <c r="C137" t="s" s="3">
        <v>40</v>
      </c>
      <c r="D137" t="s" s="3">
        <v>101</v>
      </c>
      <c r="E137" s="6">
        <v>158000</v>
      </c>
      <c r="F137" s="6">
        <f>E137*0.19</f>
        <v>30020</v>
      </c>
      <c r="G137" s="6">
        <f>E137+F137</f>
        <v>188020</v>
      </c>
      <c r="H137" s="7">
        <f>IF(J137=TRUE(),E137,0)</f>
        <v>158000</v>
      </c>
      <c r="I137" s="7">
        <f>IF(K137=TRUE(),E137,0)</f>
        <v>0</v>
      </c>
      <c r="J137" t="b" s="4">
        <v>1</v>
      </c>
      <c r="K137" t="b" s="4">
        <v>0</v>
      </c>
    </row>
    <row r="138" ht="17" customHeight="1">
      <c r="A138" s="4">
        <v>113</v>
      </c>
      <c r="B138" s="5">
        <v>40666</v>
      </c>
      <c r="C138" t="s" s="3">
        <v>58</v>
      </c>
      <c r="D138" t="s" s="3">
        <v>102</v>
      </c>
      <c r="E138" s="6">
        <v>552200</v>
      </c>
      <c r="F138" s="6">
        <f>E138*0.19</f>
        <v>104918</v>
      </c>
      <c r="G138" s="6">
        <f>E138+F138</f>
        <v>657118</v>
      </c>
      <c r="H138" s="7">
        <f>IF(J138=TRUE(),E138,0)</f>
        <v>0</v>
      </c>
      <c r="I138" s="7">
        <f>IF(K138=TRUE(),E138,0)</f>
        <v>0</v>
      </c>
      <c r="J138" t="b" s="4">
        <v>0</v>
      </c>
      <c r="K138" t="b" s="4">
        <v>0</v>
      </c>
    </row>
    <row r="139" ht="17" customHeight="1">
      <c r="A139" s="4">
        <v>114</v>
      </c>
      <c r="B139" s="5">
        <v>40666</v>
      </c>
      <c r="C139" t="s" s="3">
        <v>92</v>
      </c>
      <c r="D139" t="s" s="3">
        <v>103</v>
      </c>
      <c r="E139" s="6">
        <v>118000</v>
      </c>
      <c r="F139" s="6">
        <f>E139*0.19</f>
        <v>22420</v>
      </c>
      <c r="G139" s="6">
        <f>E139+F139</f>
        <v>140420</v>
      </c>
      <c r="H139" s="7">
        <f>IF(J139=TRUE(),E139,0)</f>
        <v>0</v>
      </c>
      <c r="I139" s="7">
        <f>IF(K139=TRUE(),E139,0)</f>
        <v>0</v>
      </c>
      <c r="J139" t="b" s="4">
        <v>0</v>
      </c>
      <c r="K139" t="b" s="4">
        <v>0</v>
      </c>
    </row>
    <row r="140" ht="17" customHeight="1">
      <c r="A140" s="4">
        <v>115</v>
      </c>
      <c r="B140" s="5">
        <v>40672</v>
      </c>
      <c r="C140" t="s" s="3">
        <v>104</v>
      </c>
      <c r="D140" t="s" s="3">
        <v>105</v>
      </c>
      <c r="E140" s="6">
        <v>132000</v>
      </c>
      <c r="F140" s="6">
        <f>E140*0.19</f>
        <v>25080</v>
      </c>
      <c r="G140" s="6">
        <f>E140+F140</f>
        <v>157080</v>
      </c>
      <c r="H140" s="7">
        <f>IF(J140=TRUE(),E140,0)</f>
        <v>0</v>
      </c>
      <c r="I140" s="7">
        <f>IF(K140=TRUE(),E140,0)</f>
        <v>0</v>
      </c>
      <c r="J140" t="b" s="4">
        <v>0</v>
      </c>
      <c r="K140" t="b" s="4">
        <v>0</v>
      </c>
    </row>
    <row r="141" ht="17" customHeight="1">
      <c r="A141" s="4">
        <v>116</v>
      </c>
      <c r="B141" s="5">
        <v>40675</v>
      </c>
      <c r="C141" t="s" s="3">
        <v>106</v>
      </c>
      <c r="D141" t="s" s="3">
        <v>107</v>
      </c>
      <c r="E141" s="6">
        <v>119500</v>
      </c>
      <c r="F141" s="6">
        <f>E141*0.19</f>
        <v>22705</v>
      </c>
      <c r="G141" s="6">
        <f>E141+F141</f>
        <v>142205</v>
      </c>
      <c r="H141" s="7">
        <f>IF(J141=TRUE(),E141,0)</f>
        <v>0</v>
      </c>
      <c r="I141" s="7">
        <f>IF(K141=TRUE(),E141,0)</f>
        <v>0</v>
      </c>
      <c r="J141" t="b" s="4">
        <v>0</v>
      </c>
      <c r="K141" t="b" s="4">
        <v>0</v>
      </c>
    </row>
    <row r="142" ht="17" customHeight="1">
      <c r="A142" s="4">
        <v>117</v>
      </c>
      <c r="B142" s="5">
        <v>40675</v>
      </c>
      <c r="C142" t="s" s="3">
        <v>36</v>
      </c>
      <c r="D142" t="s" s="3">
        <v>108</v>
      </c>
      <c r="E142" s="6">
        <v>1166000</v>
      </c>
      <c r="F142" s="6">
        <f>E142*0.19</f>
        <v>221540</v>
      </c>
      <c r="G142" s="6">
        <f>E142+F142</f>
        <v>1387540</v>
      </c>
      <c r="H142" s="7">
        <f>IF(J142=TRUE(),E142,0)</f>
        <v>0</v>
      </c>
      <c r="I142" s="7">
        <f>IF(K142=TRUE(),E142,0)</f>
        <v>0</v>
      </c>
      <c r="J142" t="b" s="4">
        <v>0</v>
      </c>
      <c r="K142" t="b" s="4">
        <v>0</v>
      </c>
    </row>
    <row r="143" ht="17" customHeight="1">
      <c r="A143" s="4">
        <v>118</v>
      </c>
      <c r="B143" s="5">
        <v>40676</v>
      </c>
      <c r="C143" t="s" s="3">
        <v>36</v>
      </c>
      <c r="D143" t="s" s="3">
        <v>109</v>
      </c>
      <c r="E143" s="6">
        <v>197368</v>
      </c>
      <c r="F143" s="6">
        <f>E143*0.19</f>
        <v>37499.92</v>
      </c>
      <c r="G143" s="6">
        <f>E143+F143</f>
        <v>234867.92</v>
      </c>
      <c r="H143" s="7">
        <f>IF(J143=TRUE(),E143,0)</f>
        <v>0</v>
      </c>
      <c r="I143" s="7">
        <f>IF(K143=TRUE(),E143,0)</f>
        <v>0</v>
      </c>
      <c r="J143" t="b" s="4">
        <v>0</v>
      </c>
      <c r="K143" t="b" s="4">
        <v>0</v>
      </c>
    </row>
    <row r="144" ht="17" customHeight="1">
      <c r="A144" s="4">
        <v>119</v>
      </c>
      <c r="B144" s="5">
        <v>40679</v>
      </c>
      <c r="C144" t="s" s="3">
        <v>110</v>
      </c>
      <c r="D144" t="s" s="3">
        <v>111</v>
      </c>
      <c r="E144" s="6">
        <v>2218400</v>
      </c>
      <c r="F144" s="6">
        <f>E144*0.19</f>
        <v>421496</v>
      </c>
      <c r="G144" s="6">
        <f>E144+F144</f>
        <v>2639896</v>
      </c>
      <c r="H144" s="7">
        <f>IF(J144=TRUE(),E144,0)</f>
        <v>0</v>
      </c>
      <c r="I144" s="7">
        <f>IF(K144=TRUE(),E144,0)</f>
        <v>0</v>
      </c>
      <c r="J144" t="b" s="4">
        <v>0</v>
      </c>
      <c r="K144" t="b" s="4">
        <v>0</v>
      </c>
    </row>
    <row r="145" ht="17" customHeight="1">
      <c r="A145" s="4">
        <v>120</v>
      </c>
      <c r="B145" s="5">
        <v>40680</v>
      </c>
      <c r="C145" t="s" s="3">
        <v>18</v>
      </c>
      <c r="D145" t="s" s="3">
        <v>112</v>
      </c>
      <c r="E145" s="6">
        <v>120000</v>
      </c>
      <c r="F145" s="6">
        <f>E145*0.19</f>
        <v>22800</v>
      </c>
      <c r="G145" s="6">
        <f>E145+F145</f>
        <v>142800</v>
      </c>
      <c r="H145" s="7">
        <f>IF(J145=TRUE(),E145,0)</f>
        <v>0</v>
      </c>
      <c r="I145" s="7">
        <f>IF(K145=TRUE(),E145,0)</f>
        <v>0</v>
      </c>
      <c r="J145" t="b" s="4">
        <v>0</v>
      </c>
      <c r="K145" t="b" s="4">
        <v>0</v>
      </c>
    </row>
    <row r="146" ht="17" customHeight="1">
      <c r="A146" s="4">
        <v>121</v>
      </c>
      <c r="B146" s="5">
        <v>40687</v>
      </c>
      <c r="C146" t="s" s="3">
        <v>18</v>
      </c>
      <c r="D146" t="s" s="3">
        <v>113</v>
      </c>
      <c r="E146" s="6">
        <v>195000</v>
      </c>
      <c r="F146" s="6">
        <f>E146*0.19</f>
        <v>37050</v>
      </c>
      <c r="G146" s="6">
        <f>E146+F146</f>
        <v>232050</v>
      </c>
      <c r="H146" s="7">
        <f>IF(J146=TRUE(),E146,0)</f>
        <v>0</v>
      </c>
      <c r="I146" s="7">
        <f>IF(K146=TRUE(),E146,0)</f>
        <v>0</v>
      </c>
      <c r="J146" t="b" s="4">
        <v>0</v>
      </c>
      <c r="K146" t="b" s="4">
        <v>0</v>
      </c>
    </row>
    <row r="147" ht="17" customHeight="1">
      <c r="A147" s="4">
        <v>122</v>
      </c>
      <c r="B147" s="5">
        <v>40689</v>
      </c>
      <c r="C147" t="s" s="3">
        <v>34</v>
      </c>
      <c r="D147" t="s" s="3">
        <v>101</v>
      </c>
      <c r="E147" s="6">
        <v>25500</v>
      </c>
      <c r="F147" s="6">
        <f>E147*0.19</f>
        <v>4845</v>
      </c>
      <c r="G147" s="6">
        <f>E147+F147</f>
        <v>30345</v>
      </c>
      <c r="H147" s="7">
        <f>IF(J147=TRUE(),E147,0)</f>
        <v>25500</v>
      </c>
      <c r="I147" s="7">
        <f>IF(K147=TRUE(),E147,0)</f>
        <v>0</v>
      </c>
      <c r="J147" t="b" s="4">
        <v>1</v>
      </c>
      <c r="K147" t="b" s="4">
        <v>0</v>
      </c>
    </row>
    <row r="148" ht="17" customHeight="1">
      <c r="A148" s="4">
        <v>123</v>
      </c>
      <c r="B148" s="5">
        <v>40689</v>
      </c>
      <c r="C148" t="s" s="3">
        <v>98</v>
      </c>
      <c r="D148" t="s" s="3">
        <v>101</v>
      </c>
      <c r="E148" s="6">
        <v>266520</v>
      </c>
      <c r="F148" s="6">
        <f>E148*0.19</f>
        <v>50638.8</v>
      </c>
      <c r="G148" s="6">
        <f>E148+F148</f>
        <v>317158.8</v>
      </c>
      <c r="H148" s="7">
        <f>IF(J148=TRUE(),E148,0)</f>
        <v>266520</v>
      </c>
      <c r="I148" s="7">
        <f>IF(K148=TRUE(),E148,0)</f>
        <v>0</v>
      </c>
      <c r="J148" t="b" s="4">
        <v>1</v>
      </c>
      <c r="K148" t="b" s="4">
        <v>0</v>
      </c>
    </row>
    <row r="149" ht="17" customHeight="1">
      <c r="A149" s="4">
        <v>124</v>
      </c>
      <c r="B149" s="5"/>
      <c r="C149" t="s" s="3">
        <v>11</v>
      </c>
      <c r="D149" s="3"/>
      <c r="E149" s="8"/>
      <c r="F149" s="8"/>
      <c r="G149" s="8"/>
      <c r="H149" s="7">
        <f>IF(J149=TRUE(),E149,0)</f>
        <v>0</v>
      </c>
      <c r="I149" s="7">
        <f>IF(K149=TRUE(),E149,0)</f>
        <v>0</v>
      </c>
      <c r="J149" t="b" s="4">
        <v>0</v>
      </c>
      <c r="K149" t="b" s="4">
        <v>0</v>
      </c>
    </row>
    <row r="150" ht="17" customHeight="1">
      <c r="A150" s="4">
        <v>125</v>
      </c>
      <c r="B150" s="5">
        <v>40689</v>
      </c>
      <c r="C150" t="s" s="3">
        <v>92</v>
      </c>
      <c r="D150" t="s" s="3">
        <v>101</v>
      </c>
      <c r="E150" s="6">
        <v>641079</v>
      </c>
      <c r="F150" s="6">
        <f>E150*0.19</f>
        <v>121805.01</v>
      </c>
      <c r="G150" s="6">
        <f>E150+F150</f>
        <v>762884.01</v>
      </c>
      <c r="H150" s="7">
        <f>IF(J150=TRUE(),E150,0)</f>
        <v>641079</v>
      </c>
      <c r="I150" s="7">
        <f>IF(K150=TRUE(),E150,0)</f>
        <v>0</v>
      </c>
      <c r="J150" t="b" s="4">
        <v>1</v>
      </c>
      <c r="K150" t="b" s="4">
        <v>0</v>
      </c>
    </row>
    <row r="151" ht="17" customHeight="1">
      <c r="A151" s="4">
        <v>126</v>
      </c>
      <c r="B151" s="5">
        <v>40689</v>
      </c>
      <c r="C151" t="s" s="3">
        <v>58</v>
      </c>
      <c r="D151" t="s" s="3">
        <v>114</v>
      </c>
      <c r="E151" s="6">
        <v>61550</v>
      </c>
      <c r="F151" s="6">
        <f>E151*0.19</f>
        <v>11694.5</v>
      </c>
      <c r="G151" s="6">
        <f>E151+F151</f>
        <v>73244.5</v>
      </c>
      <c r="H151" s="7">
        <f>IF(J151=TRUE(),E151,0)</f>
        <v>0</v>
      </c>
      <c r="I151" s="7">
        <f>IF(K151=TRUE(),E151,0)</f>
        <v>0</v>
      </c>
      <c r="J151" t="b" s="4">
        <v>0</v>
      </c>
      <c r="K151" t="b" s="4">
        <v>0</v>
      </c>
    </row>
    <row r="152" ht="17" customHeight="1">
      <c r="A152" s="4">
        <v>127</v>
      </c>
      <c r="B152" s="5">
        <v>40691</v>
      </c>
      <c r="C152" t="s" s="3">
        <v>106</v>
      </c>
      <c r="D152" t="s" s="3">
        <v>115</v>
      </c>
      <c r="E152" s="6">
        <v>260000</v>
      </c>
      <c r="F152" s="6">
        <f>E152*0.19</f>
        <v>49400</v>
      </c>
      <c r="G152" s="6">
        <f>E152+F152</f>
        <v>309400</v>
      </c>
      <c r="H152" s="7">
        <f>IF(J152=TRUE(),E152,0)</f>
        <v>0</v>
      </c>
      <c r="I152" s="7">
        <f>IF(K152=TRUE(),E152,0)</f>
        <v>0</v>
      </c>
      <c r="J152" t="b" s="4">
        <v>0</v>
      </c>
      <c r="K152" t="b" s="4">
        <v>0</v>
      </c>
    </row>
    <row r="153" ht="17" customHeight="1">
      <c r="A153" s="4">
        <v>128</v>
      </c>
      <c r="B153" s="5">
        <v>40693</v>
      </c>
      <c r="C153" t="s" s="3">
        <v>54</v>
      </c>
      <c r="D153" t="s" s="3">
        <v>116</v>
      </c>
      <c r="E153" s="6">
        <v>57000</v>
      </c>
      <c r="F153" s="6">
        <f>E153*0.19</f>
        <v>10830</v>
      </c>
      <c r="G153" s="6">
        <f>E153+F153</f>
        <v>67830</v>
      </c>
      <c r="H153" s="7">
        <f>IF(J153=TRUE(),E153,0)</f>
        <v>0</v>
      </c>
      <c r="I153" s="7">
        <f>IF(K153=TRUE(),E153,0)</f>
        <v>0</v>
      </c>
      <c r="J153" t="b" s="4">
        <v>0</v>
      </c>
      <c r="K153" t="b" s="4">
        <v>0</v>
      </c>
    </row>
    <row r="154" ht="17.5" customHeight="1">
      <c r="A154" s="9">
        <v>129</v>
      </c>
      <c r="B154" s="5">
        <v>40693</v>
      </c>
      <c r="C154" t="s" s="10">
        <v>22</v>
      </c>
      <c r="D154" t="s" s="10">
        <v>117</v>
      </c>
      <c r="E154" s="11">
        <v>610500</v>
      </c>
      <c r="F154" s="11">
        <f>E154*0.19</f>
        <v>115995</v>
      </c>
      <c r="G154" s="11">
        <f>E154+F154</f>
        <v>726495</v>
      </c>
      <c r="H154" s="12">
        <f>IF(J154=TRUE(),E154,0)</f>
        <v>0</v>
      </c>
      <c r="I154" s="12">
        <f>IF(K154=TRUE(),E154,0)</f>
        <v>0</v>
      </c>
      <c r="J154" t="b" s="9">
        <v>0</v>
      </c>
      <c r="K154" t="b" s="9">
        <v>0</v>
      </c>
    </row>
    <row r="155" ht="18" customHeight="1">
      <c r="A155" s="13">
        <v>25</v>
      </c>
      <c r="B155" t="s" s="3">
        <v>118</v>
      </c>
      <c r="C155" t="s" s="14">
        <v>7</v>
      </c>
      <c r="D155" s="14"/>
      <c r="E155" s="15">
        <f>SUM(E130:E154)</f>
        <v>7412842</v>
      </c>
      <c r="F155" s="15">
        <f>SUM(F130:F154)</f>
        <v>1408439.98</v>
      </c>
      <c r="G155" s="16">
        <f>SUM(G130:G154)</f>
        <v>8821281.98</v>
      </c>
      <c r="H155" s="17">
        <f>SUM(H130:H154)</f>
        <v>1718324</v>
      </c>
      <c r="I155" s="17"/>
      <c r="J155" s="18">
        <f>COUNTIF(J130:J154,TRUE())</f>
        <v>10</v>
      </c>
      <c r="K155" s="19"/>
    </row>
    <row r="156" ht="17.5" customHeight="1">
      <c r="A156" s="20"/>
      <c r="B156" s="5"/>
      <c r="C156" s="20"/>
      <c r="D156" s="21"/>
      <c r="E156" s="20"/>
      <c r="F156" s="20"/>
      <c r="G156" s="20"/>
      <c r="H156" s="22"/>
      <c r="I156" s="22"/>
      <c r="J156" s="20"/>
      <c r="K156" s="20"/>
    </row>
    <row r="157" ht="17" customHeight="1">
      <c r="A157" t="s" s="3">
        <v>1</v>
      </c>
      <c r="B157" t="s" s="3">
        <v>2</v>
      </c>
      <c r="C157" t="s" s="3">
        <v>3</v>
      </c>
      <c r="D157" t="s" s="3">
        <v>4</v>
      </c>
      <c r="E157" t="s" s="3">
        <v>5</v>
      </c>
      <c r="F157" t="s" s="3">
        <v>6</v>
      </c>
      <c r="G157" t="s" s="3">
        <v>7</v>
      </c>
      <c r="H157" s="7"/>
      <c r="I157" s="7"/>
      <c r="J157" s="8"/>
      <c r="K157" s="8"/>
    </row>
    <row r="158" ht="17" customHeight="1">
      <c r="A158" t="s" s="3">
        <v>119</v>
      </c>
      <c r="B158" s="5">
        <f>B173</f>
        <v>40701</v>
      </c>
      <c r="C158" t="s" s="3">
        <f>C173</f>
        <v>120</v>
      </c>
      <c r="D158" t="s" s="3">
        <f>D173</f>
        <v>121</v>
      </c>
      <c r="E158" s="6">
        <f>-E173</f>
        <v>-90000</v>
      </c>
      <c r="F158" s="6">
        <f>-F173</f>
        <v>-17100</v>
      </c>
      <c r="G158" s="6">
        <f>-G173</f>
        <v>-107100</v>
      </c>
      <c r="H158" s="7">
        <f>IF(J158=TRUE(),E158,0)</f>
        <v>0</v>
      </c>
      <c r="I158" s="7">
        <f>IF(K158=TRUE(),E158,0)</f>
        <v>0</v>
      </c>
      <c r="J158" t="b" s="4">
        <v>0</v>
      </c>
      <c r="K158" t="b" s="4">
        <v>0</v>
      </c>
    </row>
    <row r="159" ht="17" customHeight="1">
      <c r="A159" s="4">
        <v>130</v>
      </c>
      <c r="B159" s="5">
        <v>40695</v>
      </c>
      <c r="C159" t="s" s="3">
        <v>22</v>
      </c>
      <c r="D159" t="s" s="3">
        <v>122</v>
      </c>
      <c r="E159" s="6">
        <v>149100</v>
      </c>
      <c r="F159" s="6">
        <f>E159*0.19</f>
        <v>28329</v>
      </c>
      <c r="G159" s="6">
        <f>E159+F159</f>
        <v>177429</v>
      </c>
      <c r="H159" s="7">
        <f>IF(J159=TRUE(),E159,0)</f>
        <v>149100</v>
      </c>
      <c r="I159" s="7">
        <f>IF(K159=TRUE(),E159,0)</f>
        <v>0</v>
      </c>
      <c r="J159" t="b" s="4">
        <v>1</v>
      </c>
      <c r="K159" t="b" s="4">
        <v>0</v>
      </c>
    </row>
    <row r="160" ht="17" customHeight="1">
      <c r="A160" s="4">
        <v>131</v>
      </c>
      <c r="B160" s="5">
        <v>40695</v>
      </c>
      <c r="C160" t="s" s="3">
        <v>30</v>
      </c>
      <c r="D160" t="s" s="3">
        <v>122</v>
      </c>
      <c r="E160" s="6">
        <v>74000</v>
      </c>
      <c r="F160" s="6">
        <f>E160*0.19</f>
        <v>14060</v>
      </c>
      <c r="G160" s="6">
        <f>E160+F160</f>
        <v>88060</v>
      </c>
      <c r="H160" s="7">
        <f>IF(J160=TRUE(),E160,0)</f>
        <v>74000</v>
      </c>
      <c r="I160" s="7">
        <f>IF(K160=TRUE(),E160,0)</f>
        <v>0</v>
      </c>
      <c r="J160" t="b" s="4">
        <v>1</v>
      </c>
      <c r="K160" t="b" s="4">
        <v>0</v>
      </c>
    </row>
    <row r="161" ht="17" customHeight="1">
      <c r="A161" s="4">
        <v>132</v>
      </c>
      <c r="B161" s="5">
        <v>40695</v>
      </c>
      <c r="C161" t="s" s="3">
        <v>56</v>
      </c>
      <c r="D161" t="s" s="3">
        <v>122</v>
      </c>
      <c r="E161" s="6">
        <v>125000</v>
      </c>
      <c r="F161" s="6">
        <f>E161*0.19</f>
        <v>23750</v>
      </c>
      <c r="G161" s="6">
        <f>E161+F161</f>
        <v>148750</v>
      </c>
      <c r="H161" s="7">
        <f>IF(J161=TRUE(),E161,0)</f>
        <v>125000</v>
      </c>
      <c r="I161" s="7">
        <f>IF(K161=TRUE(),E161,0)</f>
        <v>0</v>
      </c>
      <c r="J161" t="b" s="4">
        <v>1</v>
      </c>
      <c r="K161" t="b" s="4">
        <v>0</v>
      </c>
    </row>
    <row r="162" ht="17" customHeight="1">
      <c r="A162" s="4">
        <v>133</v>
      </c>
      <c r="B162" s="5">
        <v>40695</v>
      </c>
      <c r="C162" t="s" s="3">
        <v>42</v>
      </c>
      <c r="D162" t="s" s="3">
        <v>122</v>
      </c>
      <c r="E162" s="6">
        <v>157500</v>
      </c>
      <c r="F162" s="6">
        <f>E162*0.19</f>
        <v>29925</v>
      </c>
      <c r="G162" s="6">
        <f>E162+F162</f>
        <v>187425</v>
      </c>
      <c r="H162" s="7">
        <f>IF(J162=TRUE(),E162,0)</f>
        <v>157500</v>
      </c>
      <c r="I162" s="7">
        <f>IF(K162=TRUE(),E162,0)</f>
        <v>0</v>
      </c>
      <c r="J162" t="b" s="4">
        <v>1</v>
      </c>
      <c r="K162" t="b" s="4">
        <v>0</v>
      </c>
    </row>
    <row r="163" ht="17" customHeight="1">
      <c r="A163" s="4">
        <v>134</v>
      </c>
      <c r="B163" s="5">
        <v>40695</v>
      </c>
      <c r="C163" t="s" s="3">
        <v>60</v>
      </c>
      <c r="D163" t="s" s="3">
        <v>122</v>
      </c>
      <c r="E163" s="6">
        <v>30625</v>
      </c>
      <c r="F163" s="6">
        <f>E163*0.19</f>
        <v>5818.75</v>
      </c>
      <c r="G163" s="6">
        <f>E163+F163</f>
        <v>36443.75</v>
      </c>
      <c r="H163" s="7">
        <f>IF(J163=TRUE(),E163,0)</f>
        <v>30625</v>
      </c>
      <c r="I163" s="7">
        <f>IF(K163=TRUE(),E163,0)</f>
        <v>0</v>
      </c>
      <c r="J163" t="b" s="4">
        <v>1</v>
      </c>
      <c r="K163" t="b" s="4">
        <v>0</v>
      </c>
    </row>
    <row r="164" ht="17" customHeight="1">
      <c r="A164" s="4">
        <v>135</v>
      </c>
      <c r="B164" s="5">
        <v>40695</v>
      </c>
      <c r="C164" t="s" s="3">
        <v>34</v>
      </c>
      <c r="D164" t="s" s="3">
        <v>122</v>
      </c>
      <c r="E164" s="6">
        <v>25500</v>
      </c>
      <c r="F164" s="6">
        <f>E164*0.19</f>
        <v>4845</v>
      </c>
      <c r="G164" s="6">
        <f>E164+F164</f>
        <v>30345</v>
      </c>
      <c r="H164" s="7">
        <f>IF(J164=TRUE(),E164,0)</f>
        <v>25500</v>
      </c>
      <c r="I164" s="7">
        <f>IF(K164=TRUE(),E164,0)</f>
        <v>0</v>
      </c>
      <c r="J164" t="b" s="4">
        <v>1</v>
      </c>
      <c r="K164" t="b" s="4">
        <v>0</v>
      </c>
    </row>
    <row r="165" ht="17" customHeight="1">
      <c r="A165" s="4">
        <v>136</v>
      </c>
      <c r="B165" s="5">
        <v>40695</v>
      </c>
      <c r="C165" t="s" s="3">
        <v>40</v>
      </c>
      <c r="D165" t="s" s="3">
        <v>122</v>
      </c>
      <c r="E165" s="6">
        <v>158000</v>
      </c>
      <c r="F165" s="6">
        <f>E165*0.19</f>
        <v>30020</v>
      </c>
      <c r="G165" s="6">
        <f>E165+F165</f>
        <v>188020</v>
      </c>
      <c r="H165" s="7">
        <f>IF(J165=TRUE(),E165,0)</f>
        <v>158000</v>
      </c>
      <c r="I165" s="7">
        <f>IF(K165=TRUE(),E165,0)</f>
        <v>0</v>
      </c>
      <c r="J165" t="b" s="4">
        <v>1</v>
      </c>
      <c r="K165" t="b" s="4">
        <v>0</v>
      </c>
    </row>
    <row r="166" ht="17" customHeight="1">
      <c r="A166" s="4">
        <v>137</v>
      </c>
      <c r="B166" s="5"/>
      <c r="C166" t="s" s="3">
        <v>11</v>
      </c>
      <c r="D166" s="3"/>
      <c r="E166" s="6">
        <v>0</v>
      </c>
      <c r="F166" s="6">
        <f>E166*0.19</f>
        <v>0</v>
      </c>
      <c r="G166" s="6">
        <f>E166+F166</f>
        <v>0</v>
      </c>
      <c r="H166" s="7">
        <f>IF(J166=TRUE(),E166,0)</f>
        <v>0</v>
      </c>
      <c r="I166" s="7">
        <f>IF(K166=TRUE(),E166,0)</f>
        <v>0</v>
      </c>
      <c r="J166" t="b" s="4">
        <v>0</v>
      </c>
      <c r="K166" t="b" s="4">
        <v>0</v>
      </c>
    </row>
    <row r="167" ht="17" customHeight="1">
      <c r="A167" s="4">
        <v>138</v>
      </c>
      <c r="B167" s="5">
        <v>40695</v>
      </c>
      <c r="C167" t="s" s="3">
        <v>66</v>
      </c>
      <c r="D167" t="s" s="3">
        <v>123</v>
      </c>
      <c r="E167" s="6">
        <v>205000</v>
      </c>
      <c r="F167" s="6">
        <f>E167*0.19</f>
        <v>38950</v>
      </c>
      <c r="G167" s="6">
        <f>E167+F167</f>
        <v>243950</v>
      </c>
      <c r="H167" s="7">
        <f>IF(J167=TRUE(),E167,0)</f>
        <v>0</v>
      </c>
      <c r="I167" s="7">
        <f>IF(K167=TRUE(),E167,0)</f>
        <v>0</v>
      </c>
      <c r="J167" t="b" s="4">
        <v>0</v>
      </c>
      <c r="K167" t="b" s="4">
        <v>0</v>
      </c>
    </row>
    <row r="168" ht="17" customHeight="1">
      <c r="A168" s="4">
        <v>139</v>
      </c>
      <c r="B168" s="5">
        <v>40701</v>
      </c>
      <c r="C168" t="s" s="3">
        <v>66</v>
      </c>
      <c r="D168" t="s" s="3">
        <v>122</v>
      </c>
      <c r="E168" s="6">
        <v>105750</v>
      </c>
      <c r="F168" s="6">
        <f>E168*0.19</f>
        <v>20092.5</v>
      </c>
      <c r="G168" s="6">
        <f>E168+F168</f>
        <v>125842.5</v>
      </c>
      <c r="H168" s="7">
        <f>IF(J168=TRUE(),E168,0)</f>
        <v>105750</v>
      </c>
      <c r="I168" s="7">
        <f>IF(K168=TRUE(),E168,0)</f>
        <v>0</v>
      </c>
      <c r="J168" t="b" s="4">
        <v>1</v>
      </c>
      <c r="K168" t="b" s="4">
        <v>0</v>
      </c>
    </row>
    <row r="169" ht="17" customHeight="1">
      <c r="A169" s="4">
        <v>140</v>
      </c>
      <c r="B169" s="5"/>
      <c r="C169" t="s" s="3">
        <v>11</v>
      </c>
      <c r="D169" s="3"/>
      <c r="E169" s="6">
        <v>0</v>
      </c>
      <c r="F169" s="6">
        <f>E169*0.19</f>
        <v>0</v>
      </c>
      <c r="G169" s="6">
        <f>E169+F169</f>
        <v>0</v>
      </c>
      <c r="H169" s="7">
        <f>IF(J169=TRUE(),E169,0)</f>
        <v>0</v>
      </c>
      <c r="I169" s="7">
        <f>IF(K169=TRUE(),E169,0)</f>
        <v>0</v>
      </c>
      <c r="J169" t="b" s="4">
        <v>0</v>
      </c>
      <c r="K169" t="b" s="4">
        <v>0</v>
      </c>
    </row>
    <row r="170" ht="17" customHeight="1">
      <c r="A170" s="4">
        <v>141</v>
      </c>
      <c r="B170" s="5">
        <v>40701</v>
      </c>
      <c r="C170" t="s" s="3">
        <v>26</v>
      </c>
      <c r="D170" t="s" s="3">
        <v>124</v>
      </c>
      <c r="E170" s="6">
        <v>90000</v>
      </c>
      <c r="F170" s="6">
        <f>E170*0.19</f>
        <v>17100</v>
      </c>
      <c r="G170" s="6">
        <f>E170+F170</f>
        <v>107100</v>
      </c>
      <c r="H170" s="7">
        <f>IF(J170=TRUE(),E170,0)</f>
        <v>0</v>
      </c>
      <c r="I170" s="7">
        <f>IF(K170=TRUE(),E170,0)</f>
        <v>0</v>
      </c>
      <c r="J170" t="b" s="4">
        <v>0</v>
      </c>
      <c r="K170" t="b" s="4">
        <v>0</v>
      </c>
    </row>
    <row r="171" ht="17" customHeight="1">
      <c r="A171" s="4">
        <v>142</v>
      </c>
      <c r="B171" s="5">
        <v>40703</v>
      </c>
      <c r="C171" t="s" s="3">
        <v>56</v>
      </c>
      <c r="D171" t="s" s="3">
        <v>125</v>
      </c>
      <c r="E171" s="6">
        <v>100000</v>
      </c>
      <c r="F171" s="6">
        <f>E171*0.19</f>
        <v>19000</v>
      </c>
      <c r="G171" s="6">
        <f>E171+F171</f>
        <v>119000</v>
      </c>
      <c r="H171" s="7">
        <f>IF(J171=TRUE(),E171,0)</f>
        <v>0</v>
      </c>
      <c r="I171" s="7">
        <f>IF(K171=TRUE(),E171,0)</f>
        <v>0</v>
      </c>
      <c r="J171" t="b" s="4">
        <v>0</v>
      </c>
      <c r="K171" t="b" s="4">
        <v>0</v>
      </c>
    </row>
    <row r="172" ht="17" customHeight="1">
      <c r="A172" s="4">
        <v>143</v>
      </c>
      <c r="B172" s="5">
        <v>40710</v>
      </c>
      <c r="C172" t="s" s="3">
        <v>10</v>
      </c>
      <c r="D172" t="s" s="3">
        <v>126</v>
      </c>
      <c r="E172" s="6">
        <v>409740</v>
      </c>
      <c r="F172" s="6">
        <f>E172*0.19</f>
        <v>77850.600000000006</v>
      </c>
      <c r="G172" s="6">
        <f>E172+F172</f>
        <v>487590.6</v>
      </c>
      <c r="H172" s="7">
        <f>IF(J172=TRUE(),E172,0)</f>
        <v>0</v>
      </c>
      <c r="I172" s="7">
        <f>IF(K172=TRUE(),E172,0)</f>
        <v>0</v>
      </c>
      <c r="J172" t="b" s="4">
        <v>0</v>
      </c>
      <c r="K172" t="b" s="4">
        <v>0</v>
      </c>
    </row>
    <row r="173" ht="17" customHeight="1">
      <c r="A173" s="4">
        <v>144</v>
      </c>
      <c r="B173" s="5">
        <v>40701</v>
      </c>
      <c r="C173" t="s" s="3">
        <v>120</v>
      </c>
      <c r="D173" t="s" s="3">
        <v>121</v>
      </c>
      <c r="E173" s="6">
        <v>90000</v>
      </c>
      <c r="F173" s="6">
        <f>E173*0.19</f>
        <v>17100</v>
      </c>
      <c r="G173" s="6">
        <f>E173+F173</f>
        <v>107100</v>
      </c>
      <c r="H173" s="7">
        <f>IF(J173=TRUE(),E173,0)</f>
        <v>0</v>
      </c>
      <c r="I173" s="7">
        <f>IF(K173=TRUE(),E173,0)</f>
        <v>0</v>
      </c>
      <c r="J173" t="b" s="4">
        <v>0</v>
      </c>
      <c r="K173" t="b" s="4">
        <v>0</v>
      </c>
    </row>
    <row r="174" ht="17" customHeight="1">
      <c r="A174" s="4">
        <v>145</v>
      </c>
      <c r="B174" s="5">
        <v>40701</v>
      </c>
      <c r="C174" t="s" s="3">
        <v>127</v>
      </c>
      <c r="D174" t="s" s="3">
        <v>128</v>
      </c>
      <c r="E174" s="6">
        <v>114100</v>
      </c>
      <c r="F174" s="6">
        <f>E174*0.19</f>
        <v>21679</v>
      </c>
      <c r="G174" s="6">
        <f>E174+F174</f>
        <v>135779</v>
      </c>
      <c r="H174" s="7">
        <f>IF(J174=TRUE(),E174,0)</f>
        <v>0</v>
      </c>
      <c r="I174" s="7">
        <f>IF(K174=TRUE(),E174,0)</f>
        <v>0</v>
      </c>
      <c r="J174" t="b" s="4">
        <v>0</v>
      </c>
      <c r="K174" t="b" s="4">
        <v>0</v>
      </c>
    </row>
    <row r="175" ht="17" customHeight="1">
      <c r="A175" s="4">
        <v>146</v>
      </c>
      <c r="B175" s="5">
        <v>40714</v>
      </c>
      <c r="C175" t="s" s="3">
        <v>120</v>
      </c>
      <c r="D175" t="s" s="3">
        <v>129</v>
      </c>
      <c r="E175" s="6">
        <v>182000</v>
      </c>
      <c r="F175" s="6">
        <f>E175*0.19</f>
        <v>34580</v>
      </c>
      <c r="G175" s="6">
        <f>E175+F175</f>
        <v>216580</v>
      </c>
      <c r="H175" s="7">
        <f>IF(J175=TRUE(),E175,0)</f>
        <v>0</v>
      </c>
      <c r="I175" s="7">
        <f>IF(K175=TRUE(),E175,0)</f>
        <v>0</v>
      </c>
      <c r="J175" t="b" s="4">
        <v>0</v>
      </c>
      <c r="K175" t="b" s="4">
        <v>0</v>
      </c>
    </row>
    <row r="176" ht="17" customHeight="1">
      <c r="A176" s="4">
        <v>147</v>
      </c>
      <c r="B176" s="5">
        <v>40714</v>
      </c>
      <c r="C176" t="s" s="3">
        <v>130</v>
      </c>
      <c r="D176" t="s" s="3">
        <v>131</v>
      </c>
      <c r="E176" s="6">
        <v>426400</v>
      </c>
      <c r="F176" s="6">
        <f>E176*0.19</f>
        <v>81016</v>
      </c>
      <c r="G176" s="6">
        <f>E176+F176</f>
        <v>507416</v>
      </c>
      <c r="H176" s="7">
        <f>IF(J176=TRUE(),E176,0)</f>
        <v>0</v>
      </c>
      <c r="I176" s="7">
        <f>IF(K176=TRUE(),E176,0)</f>
        <v>0</v>
      </c>
      <c r="J176" t="b" s="4">
        <v>0</v>
      </c>
      <c r="K176" t="b" s="4">
        <v>0</v>
      </c>
    </row>
    <row r="177" ht="17" customHeight="1">
      <c r="A177" s="4">
        <v>148</v>
      </c>
      <c r="B177" s="5">
        <v>40714</v>
      </c>
      <c r="C177" t="s" s="3">
        <v>127</v>
      </c>
      <c r="D177" t="s" s="3">
        <v>132</v>
      </c>
      <c r="E177" s="6">
        <v>169350</v>
      </c>
      <c r="F177" s="6">
        <f>E177*0.19</f>
        <v>32176.5</v>
      </c>
      <c r="G177" s="6">
        <f>E177+F177</f>
        <v>201526.5</v>
      </c>
      <c r="H177" s="7">
        <f>IF(J177=TRUE(),E177,0)</f>
        <v>0</v>
      </c>
      <c r="I177" s="7">
        <f>IF(K177=TRUE(),E177,0)</f>
        <v>0</v>
      </c>
      <c r="J177" t="b" s="4">
        <v>0</v>
      </c>
      <c r="K177" t="b" s="4">
        <v>0</v>
      </c>
    </row>
    <row r="178" ht="17" customHeight="1">
      <c r="A178" s="4">
        <v>149</v>
      </c>
      <c r="B178" s="5">
        <v>40695</v>
      </c>
      <c r="C178" t="s" s="3">
        <v>120</v>
      </c>
      <c r="D178" t="s" s="3">
        <v>122</v>
      </c>
      <c r="E178" s="6">
        <v>281917</v>
      </c>
      <c r="F178" s="6">
        <f>E178*0.19</f>
        <v>53564.23</v>
      </c>
      <c r="G178" s="6">
        <f>E178+F178</f>
        <v>335481.23</v>
      </c>
      <c r="H178" s="7">
        <f>IF(J178=TRUE(),E178,0)</f>
        <v>281917</v>
      </c>
      <c r="I178" s="7">
        <f>IF(K178=TRUE(),E178,0)</f>
        <v>0</v>
      </c>
      <c r="J178" t="b" s="4">
        <v>1</v>
      </c>
      <c r="K178" t="b" s="4">
        <v>0</v>
      </c>
    </row>
    <row r="179" ht="17" customHeight="1">
      <c r="A179" s="4">
        <v>150</v>
      </c>
      <c r="B179" s="5">
        <v>40695</v>
      </c>
      <c r="C179" t="s" s="3">
        <v>130</v>
      </c>
      <c r="D179" t="s" s="3">
        <v>122</v>
      </c>
      <c r="E179" s="6">
        <v>314167</v>
      </c>
      <c r="F179" s="6">
        <f>E179*0.19</f>
        <v>59691.73</v>
      </c>
      <c r="G179" s="6">
        <f>E179+F179</f>
        <v>373858.73</v>
      </c>
      <c r="H179" s="7">
        <f>IF(J179=TRUE(),E179,0)</f>
        <v>314167</v>
      </c>
      <c r="I179" s="7">
        <f>IF(K179=TRUE(),E179,0)</f>
        <v>0</v>
      </c>
      <c r="J179" t="b" s="4">
        <v>1</v>
      </c>
      <c r="K179" t="b" s="4">
        <v>0</v>
      </c>
    </row>
    <row r="180" ht="17" customHeight="1">
      <c r="A180" s="4">
        <v>151</v>
      </c>
      <c r="B180" s="5">
        <v>40695</v>
      </c>
      <c r="C180" t="s" s="3">
        <v>127</v>
      </c>
      <c r="D180" t="s" s="3">
        <v>122</v>
      </c>
      <c r="E180" s="6">
        <v>253417</v>
      </c>
      <c r="F180" s="6">
        <f>E180*0.19</f>
        <v>48149.23</v>
      </c>
      <c r="G180" s="6">
        <f>E180+F180</f>
        <v>301566.23</v>
      </c>
      <c r="H180" s="7">
        <f>IF(J180=TRUE(),E180,0)</f>
        <v>253417</v>
      </c>
      <c r="I180" s="7">
        <f>IF(K180=TRUE(),E180,0)</f>
        <v>0</v>
      </c>
      <c r="J180" t="b" s="4">
        <v>1</v>
      </c>
      <c r="K180" t="b" s="4">
        <v>0</v>
      </c>
    </row>
    <row r="181" ht="17" customHeight="1">
      <c r="A181" s="4">
        <v>152</v>
      </c>
      <c r="B181" s="5">
        <v>40715</v>
      </c>
      <c r="C181" t="s" s="3">
        <v>127</v>
      </c>
      <c r="D181" t="s" s="3">
        <v>133</v>
      </c>
      <c r="E181" s="6">
        <v>818395</v>
      </c>
      <c r="F181" s="6">
        <f>E181*0.19</f>
        <v>155495.05</v>
      </c>
      <c r="G181" s="6">
        <f>E181+F181</f>
        <v>973890.05</v>
      </c>
      <c r="H181" s="7">
        <f>IF(J181=TRUE(),E181,0)</f>
        <v>0</v>
      </c>
      <c r="I181" s="7">
        <f>IF(K181=TRUE(),E181,0)</f>
        <v>0</v>
      </c>
      <c r="J181" t="b" s="4">
        <v>0</v>
      </c>
      <c r="K181" t="b" s="4">
        <v>0</v>
      </c>
    </row>
    <row r="182" ht="17" customHeight="1">
      <c r="A182" s="4">
        <v>153</v>
      </c>
      <c r="B182" s="5">
        <v>40715</v>
      </c>
      <c r="C182" t="s" s="3">
        <v>127</v>
      </c>
      <c r="D182" t="s" s="3">
        <v>134</v>
      </c>
      <c r="E182" s="6">
        <v>547500</v>
      </c>
      <c r="F182" s="6">
        <f>E182*0.19</f>
        <v>104025</v>
      </c>
      <c r="G182" s="6">
        <f>E182+F182</f>
        <v>651525</v>
      </c>
      <c r="H182" s="7">
        <f>IF(J182=TRUE(),E182,0)</f>
        <v>0</v>
      </c>
      <c r="I182" s="7">
        <f>IF(K182=TRUE(),E182,0)</f>
        <v>0</v>
      </c>
      <c r="J182" t="b" s="4">
        <v>0</v>
      </c>
      <c r="K182" t="b" s="4">
        <v>0</v>
      </c>
    </row>
    <row r="183" ht="17" customHeight="1">
      <c r="A183" s="4">
        <v>154</v>
      </c>
      <c r="B183" s="5">
        <v>40716</v>
      </c>
      <c r="C183" t="s" s="3">
        <v>30</v>
      </c>
      <c r="D183" t="s" s="3">
        <v>135</v>
      </c>
      <c r="E183" s="6">
        <v>249500</v>
      </c>
      <c r="F183" s="6">
        <f>E183*0.19</f>
        <v>47405</v>
      </c>
      <c r="G183" s="6">
        <f>E183+F183</f>
        <v>296905</v>
      </c>
      <c r="H183" s="7">
        <f>IF(J183=TRUE(),E183,0)</f>
        <v>0</v>
      </c>
      <c r="I183" s="7">
        <f>IF(K183=TRUE(),E183,0)</f>
        <v>0</v>
      </c>
      <c r="J183" t="b" s="4">
        <v>0</v>
      </c>
      <c r="K183" t="b" s="4">
        <v>0</v>
      </c>
    </row>
    <row r="184" ht="17" customHeight="1">
      <c r="A184" s="4">
        <v>155</v>
      </c>
      <c r="B184" s="5">
        <v>40722</v>
      </c>
      <c r="C184" t="s" s="3">
        <v>29</v>
      </c>
      <c r="D184" t="s" s="3">
        <v>136</v>
      </c>
      <c r="E184" s="6">
        <v>900000</v>
      </c>
      <c r="F184" s="6">
        <f>E184*0.19</f>
        <v>171000</v>
      </c>
      <c r="G184" s="6">
        <f>E184+F184</f>
        <v>1071000</v>
      </c>
      <c r="H184" s="7">
        <f>IF(J184=TRUE(),E184,0)</f>
        <v>0</v>
      </c>
      <c r="I184" s="7">
        <f>IF(K184=TRUE(),E184,0)</f>
        <v>0</v>
      </c>
      <c r="J184" t="b" s="4">
        <v>0</v>
      </c>
      <c r="K184" t="b" s="4">
        <v>0</v>
      </c>
    </row>
    <row r="185" ht="17" customHeight="1">
      <c r="A185" s="4">
        <v>156</v>
      </c>
      <c r="B185" s="5">
        <v>40724</v>
      </c>
      <c r="C185" t="s" s="3">
        <v>98</v>
      </c>
      <c r="D185" t="s" s="3">
        <v>122</v>
      </c>
      <c r="E185" s="6">
        <v>266520</v>
      </c>
      <c r="F185" s="6">
        <f>E185*0.19</f>
        <v>50638.8</v>
      </c>
      <c r="G185" s="6">
        <f>E185+F185</f>
        <v>317158.8</v>
      </c>
      <c r="H185" s="7">
        <f>IF(J185=TRUE(),E185,0)</f>
        <v>266520</v>
      </c>
      <c r="I185" s="7">
        <f>IF(K185=TRUE(),E185,0)</f>
        <v>0</v>
      </c>
      <c r="J185" t="b" s="4">
        <v>1</v>
      </c>
      <c r="K185" t="b" s="4">
        <v>0</v>
      </c>
    </row>
    <row r="186" ht="17" customHeight="1">
      <c r="A186" s="4">
        <v>157</v>
      </c>
      <c r="B186" s="5">
        <v>40724</v>
      </c>
      <c r="C186" t="s" s="3">
        <v>92</v>
      </c>
      <c r="D186" t="s" s="3">
        <v>122</v>
      </c>
      <c r="E186" s="6">
        <v>641079</v>
      </c>
      <c r="F186" s="6">
        <f>E186*0.19</f>
        <v>121805.01</v>
      </c>
      <c r="G186" s="6">
        <f>E186+F186</f>
        <v>762884.01</v>
      </c>
      <c r="H186" s="7">
        <f>IF(J186=TRUE(),E186,0)</f>
        <v>641079</v>
      </c>
      <c r="I186" s="7">
        <f>IF(K186=TRUE(),E186,0)</f>
        <v>0</v>
      </c>
      <c r="J186" t="b" s="4">
        <v>1</v>
      </c>
      <c r="K186" t="b" s="4">
        <v>0</v>
      </c>
    </row>
    <row r="187" ht="17.5" customHeight="1">
      <c r="A187" s="9">
        <v>158</v>
      </c>
      <c r="B187" s="5">
        <v>40724</v>
      </c>
      <c r="C187" t="s" s="10">
        <v>92</v>
      </c>
      <c r="D187" t="s" s="10">
        <v>137</v>
      </c>
      <c r="E187" s="11">
        <v>27500</v>
      </c>
      <c r="F187" s="11">
        <f>E187*0.19</f>
        <v>5225</v>
      </c>
      <c r="G187" s="11">
        <f>E187+F187</f>
        <v>32725</v>
      </c>
      <c r="H187" s="12">
        <f>IF(J187=TRUE(),E187,0)</f>
        <v>0</v>
      </c>
      <c r="I187" s="12">
        <f>IF(K187=TRUE(),E187,0)</f>
        <v>0</v>
      </c>
      <c r="J187" t="b" s="9">
        <v>0</v>
      </c>
      <c r="K187" t="b" s="9">
        <v>0</v>
      </c>
    </row>
    <row r="188" ht="18" customHeight="1">
      <c r="A188" s="13">
        <v>30</v>
      </c>
      <c r="B188" t="s" s="3">
        <v>138</v>
      </c>
      <c r="C188" t="s" s="14">
        <v>7</v>
      </c>
      <c r="D188" s="14"/>
      <c r="E188" s="15">
        <f>SUM(E158:E187)</f>
        <v>6822060</v>
      </c>
      <c r="F188" s="15">
        <f>SUM(F158:F187)</f>
        <v>1296191.4</v>
      </c>
      <c r="G188" s="16">
        <f>SUM(G158:G187)</f>
        <v>8118251.399999999</v>
      </c>
      <c r="H188" s="17">
        <f>SUM(H158:H187)</f>
        <v>2582575</v>
      </c>
      <c r="I188" s="17"/>
      <c r="J188" s="18">
        <f>COUNTIF(J158:J187,TRUE())</f>
        <v>13</v>
      </c>
      <c r="K188" s="19"/>
    </row>
    <row r="189" ht="17.5" customHeight="1">
      <c r="A189" s="20"/>
      <c r="B189" s="5"/>
      <c r="C189" s="20"/>
      <c r="D189" s="21"/>
      <c r="E189" s="20"/>
      <c r="F189" s="20"/>
      <c r="G189" s="20"/>
      <c r="H189" s="22"/>
      <c r="I189" s="22"/>
      <c r="J189" s="20"/>
      <c r="K189" s="20"/>
    </row>
    <row r="190" ht="17" customHeight="1">
      <c r="A190" t="s" s="3">
        <v>1</v>
      </c>
      <c r="B190" t="s" s="3">
        <v>2</v>
      </c>
      <c r="C190" t="s" s="3">
        <v>3</v>
      </c>
      <c r="D190" t="s" s="3">
        <v>4</v>
      </c>
      <c r="E190" t="s" s="3">
        <v>5</v>
      </c>
      <c r="F190" t="s" s="3">
        <v>6</v>
      </c>
      <c r="G190" t="s" s="3">
        <v>7</v>
      </c>
      <c r="H190" s="7"/>
      <c r="I190" s="7"/>
      <c r="J190" s="8"/>
      <c r="K190" s="8"/>
    </row>
    <row r="191" ht="17" customHeight="1">
      <c r="A191" t="s" s="3">
        <v>139</v>
      </c>
      <c r="B191" s="5">
        <v>40742</v>
      </c>
      <c r="C191" t="s" s="3">
        <f>C203</f>
        <v>120</v>
      </c>
      <c r="D191" t="s" s="3">
        <f>D203</f>
        <v>140</v>
      </c>
      <c r="E191" s="6">
        <f>-E203</f>
        <v>-289042</v>
      </c>
      <c r="F191" s="6">
        <f>-F203</f>
        <v>-54917.98</v>
      </c>
      <c r="G191" s="6">
        <f>-G203</f>
        <v>-343959.98</v>
      </c>
      <c r="H191" s="7">
        <f>IF(J191=TRUE(),E191,0)</f>
        <v>-289042</v>
      </c>
      <c r="I191" s="7">
        <f>IF(K191=TRUE(),E191,0)</f>
        <v>0</v>
      </c>
      <c r="J191" t="b" s="4">
        <v>1</v>
      </c>
      <c r="K191" t="b" s="4">
        <v>0</v>
      </c>
    </row>
    <row r="192" ht="17" customHeight="1">
      <c r="A192" t="s" s="3">
        <v>141</v>
      </c>
      <c r="B192" s="5">
        <v>40742</v>
      </c>
      <c r="C192" t="s" s="3">
        <f>C204</f>
        <v>130</v>
      </c>
      <c r="D192" t="s" s="3">
        <f>D204</f>
        <v>140</v>
      </c>
      <c r="E192" s="6">
        <f>-E204</f>
        <v>-326167</v>
      </c>
      <c r="F192" s="6">
        <f>-F204</f>
        <v>-61971.73</v>
      </c>
      <c r="G192" s="6">
        <f>-G204</f>
        <v>-388138.73</v>
      </c>
      <c r="H192" s="7">
        <f>IF(J192=TRUE(),E192,0)</f>
        <v>-326167</v>
      </c>
      <c r="I192" s="7">
        <f>IF(K192=TRUE(),E192,0)</f>
        <v>0</v>
      </c>
      <c r="J192" t="b" s="4">
        <v>1</v>
      </c>
      <c r="K192" t="b" s="4">
        <v>0</v>
      </c>
    </row>
    <row r="193" ht="17" customHeight="1">
      <c r="A193" t="s" s="3">
        <v>142</v>
      </c>
      <c r="B193" s="5">
        <v>40742</v>
      </c>
      <c r="C193" t="s" s="3">
        <f>C205</f>
        <v>127</v>
      </c>
      <c r="D193" t="s" s="3">
        <f>D205</f>
        <v>140</v>
      </c>
      <c r="E193" s="6">
        <f>-E205</f>
        <v>-260542</v>
      </c>
      <c r="F193" s="6">
        <f>-F205</f>
        <v>-49502.98</v>
      </c>
      <c r="G193" s="6">
        <f>-G205</f>
        <v>-310044.98</v>
      </c>
      <c r="H193" s="7">
        <f>IF(J193=TRUE(),E193,0)</f>
        <v>-260542</v>
      </c>
      <c r="I193" s="7">
        <f>IF(K193=TRUE(),E193,0)</f>
        <v>0</v>
      </c>
      <c r="J193" t="b" s="4">
        <v>1</v>
      </c>
      <c r="K193" t="b" s="4">
        <v>0</v>
      </c>
    </row>
    <row r="194" ht="17" customHeight="1">
      <c r="A194" s="4">
        <v>159</v>
      </c>
      <c r="B194" s="5">
        <v>40728</v>
      </c>
      <c r="C194" t="s" s="3">
        <v>33</v>
      </c>
      <c r="D194" t="s" s="3">
        <v>122</v>
      </c>
      <c r="E194" s="6">
        <v>554766</v>
      </c>
      <c r="F194" s="6">
        <f>E194*0.19</f>
        <v>105405.54</v>
      </c>
      <c r="G194" s="6">
        <f>E194+F194</f>
        <v>660171.54</v>
      </c>
      <c r="H194" s="7">
        <f>IF(J194=TRUE(),E194,0)</f>
        <v>554766</v>
      </c>
      <c r="I194" s="7">
        <f>IF(K194=TRUE(),E194,0)</f>
        <v>0</v>
      </c>
      <c r="J194" t="b" s="4">
        <v>1</v>
      </c>
      <c r="K194" t="b" s="4">
        <v>0</v>
      </c>
    </row>
    <row r="195" ht="17" customHeight="1">
      <c r="A195" s="4">
        <v>160</v>
      </c>
      <c r="B195" s="5">
        <v>40725</v>
      </c>
      <c r="C195" t="s" s="3">
        <v>22</v>
      </c>
      <c r="D195" t="s" s="3">
        <v>140</v>
      </c>
      <c r="E195" s="6">
        <v>149100</v>
      </c>
      <c r="F195" s="6">
        <f>E195*0.19</f>
        <v>28329</v>
      </c>
      <c r="G195" s="6">
        <f>E195+F195</f>
        <v>177429</v>
      </c>
      <c r="H195" s="7">
        <f>IF(J195=TRUE(),E195,0)</f>
        <v>149100</v>
      </c>
      <c r="I195" s="7">
        <f>IF(K195=TRUE(),E195,0)</f>
        <v>0</v>
      </c>
      <c r="J195" t="b" s="4">
        <v>1</v>
      </c>
      <c r="K195" t="b" s="4">
        <v>0</v>
      </c>
    </row>
    <row r="196" ht="17" customHeight="1">
      <c r="A196" s="4">
        <v>161</v>
      </c>
      <c r="B196" s="5">
        <v>40725</v>
      </c>
      <c r="C196" t="s" s="3">
        <v>30</v>
      </c>
      <c r="D196" t="s" s="3">
        <v>140</v>
      </c>
      <c r="E196" s="6">
        <v>74000</v>
      </c>
      <c r="F196" s="6">
        <f>E196*0.19</f>
        <v>14060</v>
      </c>
      <c r="G196" s="6">
        <f>E196+F196</f>
        <v>88060</v>
      </c>
      <c r="H196" s="7">
        <f>IF(J196=TRUE(),E196,0)</f>
        <v>74000</v>
      </c>
      <c r="I196" s="7">
        <f>IF(K196=TRUE(),E196,0)</f>
        <v>0</v>
      </c>
      <c r="J196" t="b" s="4">
        <v>1</v>
      </c>
      <c r="K196" t="b" s="4">
        <v>0</v>
      </c>
    </row>
    <row r="197" ht="17" customHeight="1">
      <c r="A197" s="4">
        <v>162</v>
      </c>
      <c r="B197" s="5">
        <v>40725</v>
      </c>
      <c r="C197" t="s" s="3">
        <v>56</v>
      </c>
      <c r="D197" t="s" s="3">
        <v>140</v>
      </c>
      <c r="E197" s="6">
        <v>125000</v>
      </c>
      <c r="F197" s="6">
        <f>E197*0.19</f>
        <v>23750</v>
      </c>
      <c r="G197" s="6">
        <f>E197+F197</f>
        <v>148750</v>
      </c>
      <c r="H197" s="7">
        <f>IF(J197=TRUE(),E197,0)</f>
        <v>125000</v>
      </c>
      <c r="I197" s="7">
        <f>IF(K197=TRUE(),E197,0)</f>
        <v>0</v>
      </c>
      <c r="J197" t="b" s="4">
        <v>1</v>
      </c>
      <c r="K197" t="b" s="4">
        <v>0</v>
      </c>
    </row>
    <row r="198" ht="17" customHeight="1">
      <c r="A198" s="4">
        <v>163</v>
      </c>
      <c r="B198" s="5">
        <v>40725</v>
      </c>
      <c r="C198" t="s" s="3">
        <v>42</v>
      </c>
      <c r="D198" t="s" s="3">
        <v>140</v>
      </c>
      <c r="E198" s="6">
        <v>157500</v>
      </c>
      <c r="F198" s="6">
        <f>E198*0.19</f>
        <v>29925</v>
      </c>
      <c r="G198" s="6">
        <f>E198+F198</f>
        <v>187425</v>
      </c>
      <c r="H198" s="7">
        <f>IF(J198=TRUE(),E198,0)</f>
        <v>157500</v>
      </c>
      <c r="I198" s="7">
        <f>IF(K198=TRUE(),E198,0)</f>
        <v>0</v>
      </c>
      <c r="J198" t="b" s="4">
        <v>1</v>
      </c>
      <c r="K198" t="b" s="4">
        <v>0</v>
      </c>
    </row>
    <row r="199" ht="17" customHeight="1">
      <c r="A199" s="4">
        <v>164</v>
      </c>
      <c r="B199" s="5">
        <v>40725</v>
      </c>
      <c r="C199" t="s" s="3">
        <v>60</v>
      </c>
      <c r="D199" t="s" s="3">
        <v>140</v>
      </c>
      <c r="E199" s="6">
        <v>30625</v>
      </c>
      <c r="F199" s="6">
        <f>E199*0.19</f>
        <v>5818.75</v>
      </c>
      <c r="G199" s="6">
        <f>E199+F199</f>
        <v>36443.75</v>
      </c>
      <c r="H199" s="7">
        <f>IF(J199=TRUE(),E199,0)</f>
        <v>30625</v>
      </c>
      <c r="I199" s="7">
        <f>IF(K199=TRUE(),E199,0)</f>
        <v>0</v>
      </c>
      <c r="J199" t="b" s="4">
        <v>1</v>
      </c>
      <c r="K199" t="b" s="4">
        <v>0</v>
      </c>
    </row>
    <row r="200" ht="17" customHeight="1">
      <c r="A200" s="4">
        <v>165</v>
      </c>
      <c r="B200" s="5">
        <v>40725</v>
      </c>
      <c r="C200" t="s" s="3">
        <v>34</v>
      </c>
      <c r="D200" t="s" s="3">
        <v>140</v>
      </c>
      <c r="E200" s="6">
        <v>25500</v>
      </c>
      <c r="F200" s="6">
        <f>E200*0.19</f>
        <v>4845</v>
      </c>
      <c r="G200" s="6">
        <f>E200+F200</f>
        <v>30345</v>
      </c>
      <c r="H200" s="7">
        <f>IF(J200=TRUE(),E200,0)</f>
        <v>25500</v>
      </c>
      <c r="I200" s="7">
        <f>IF(K200=TRUE(),E200,0)</f>
        <v>0</v>
      </c>
      <c r="J200" t="b" s="4">
        <v>1</v>
      </c>
      <c r="K200" t="b" s="4">
        <v>0</v>
      </c>
    </row>
    <row r="201" ht="17" customHeight="1">
      <c r="A201" s="4">
        <v>166</v>
      </c>
      <c r="B201" s="5">
        <v>40725</v>
      </c>
      <c r="C201" t="s" s="3">
        <v>40</v>
      </c>
      <c r="D201" t="s" s="3">
        <v>140</v>
      </c>
      <c r="E201" s="6">
        <v>158000</v>
      </c>
      <c r="F201" s="6">
        <f>E201*0.19</f>
        <v>30020</v>
      </c>
      <c r="G201" s="6">
        <f>E201+F201</f>
        <v>188020</v>
      </c>
      <c r="H201" s="7">
        <f>IF(J201=TRUE(),E201,0)</f>
        <v>158000</v>
      </c>
      <c r="I201" s="7">
        <f>IF(K201=TRUE(),E201,0)</f>
        <v>0</v>
      </c>
      <c r="J201" t="b" s="4">
        <v>1</v>
      </c>
      <c r="K201" t="b" s="4">
        <v>0</v>
      </c>
    </row>
    <row r="202" ht="17" customHeight="1">
      <c r="A202" s="4">
        <v>167</v>
      </c>
      <c r="B202" s="5">
        <v>40725</v>
      </c>
      <c r="C202" t="s" s="3">
        <v>66</v>
      </c>
      <c r="D202" t="s" s="3">
        <v>140</v>
      </c>
      <c r="E202" s="6">
        <v>105750</v>
      </c>
      <c r="F202" s="6">
        <f>E202*0.19</f>
        <v>20092.5</v>
      </c>
      <c r="G202" s="6">
        <f>E202+F202</f>
        <v>125842.5</v>
      </c>
      <c r="H202" s="7">
        <f>IF(J202=TRUE(),E202,0)</f>
        <v>105750</v>
      </c>
      <c r="I202" s="7">
        <f>IF(K202=TRUE(),E202,0)</f>
        <v>0</v>
      </c>
      <c r="J202" t="b" s="4">
        <v>1</v>
      </c>
      <c r="K202" t="b" s="4">
        <v>0</v>
      </c>
    </row>
    <row r="203" ht="17" customHeight="1">
      <c r="A203" s="4">
        <v>168</v>
      </c>
      <c r="B203" s="5">
        <v>40725</v>
      </c>
      <c r="C203" t="s" s="3">
        <v>120</v>
      </c>
      <c r="D203" t="s" s="3">
        <v>140</v>
      </c>
      <c r="E203" s="6">
        <v>289042</v>
      </c>
      <c r="F203" s="6">
        <f>E203*0.19</f>
        <v>54917.98</v>
      </c>
      <c r="G203" s="6">
        <f>E203+F203</f>
        <v>343959.98</v>
      </c>
      <c r="H203" s="7">
        <f>IF(J203=TRUE(),E203,0)</f>
        <v>289042</v>
      </c>
      <c r="I203" s="7">
        <f>IF(K203=TRUE(),E203,0)</f>
        <v>0</v>
      </c>
      <c r="J203" t="b" s="4">
        <v>1</v>
      </c>
      <c r="K203" t="b" s="4">
        <v>0</v>
      </c>
    </row>
    <row r="204" ht="17" customHeight="1">
      <c r="A204" s="4">
        <v>169</v>
      </c>
      <c r="B204" s="5">
        <v>40725</v>
      </c>
      <c r="C204" t="s" s="3">
        <v>130</v>
      </c>
      <c r="D204" t="s" s="3">
        <v>140</v>
      </c>
      <c r="E204" s="6">
        <v>326167</v>
      </c>
      <c r="F204" s="6">
        <f>E204*0.19</f>
        <v>61971.73</v>
      </c>
      <c r="G204" s="6">
        <f>E204+F204</f>
        <v>388138.73</v>
      </c>
      <c r="H204" s="7">
        <f>IF(J204=TRUE(),E204,0)</f>
        <v>326167</v>
      </c>
      <c r="I204" s="7">
        <f>IF(K204=TRUE(),E204,0)</f>
        <v>0</v>
      </c>
      <c r="J204" t="b" s="4">
        <v>1</v>
      </c>
      <c r="K204" t="b" s="4">
        <v>0</v>
      </c>
    </row>
    <row r="205" ht="17" customHeight="1">
      <c r="A205" s="4">
        <v>170</v>
      </c>
      <c r="B205" s="5">
        <v>40725</v>
      </c>
      <c r="C205" t="s" s="3">
        <v>127</v>
      </c>
      <c r="D205" t="s" s="3">
        <v>140</v>
      </c>
      <c r="E205" s="6">
        <v>260542</v>
      </c>
      <c r="F205" s="6">
        <f>E205*0.19</f>
        <v>49502.98</v>
      </c>
      <c r="G205" s="6">
        <f>E205+F205</f>
        <v>310044.98</v>
      </c>
      <c r="H205" s="7">
        <f>IF(J205=TRUE(),E205,0)</f>
        <v>260542</v>
      </c>
      <c r="I205" s="7">
        <f>IF(K205=TRUE(),E205,0)</f>
        <v>0</v>
      </c>
      <c r="J205" t="b" s="4">
        <v>1</v>
      </c>
      <c r="K205" t="b" s="4">
        <v>0</v>
      </c>
    </row>
    <row r="206" ht="17" customHeight="1">
      <c r="A206" s="4">
        <v>171</v>
      </c>
      <c r="B206" s="5">
        <v>40732</v>
      </c>
      <c r="C206" t="s" s="3">
        <v>33</v>
      </c>
      <c r="D206" t="s" s="3">
        <v>143</v>
      </c>
      <c r="E206" s="6">
        <v>322000</v>
      </c>
      <c r="F206" s="6">
        <f>E206*0.19</f>
        <v>61180</v>
      </c>
      <c r="G206" s="6">
        <f>E206+F206</f>
        <v>383180</v>
      </c>
      <c r="H206" s="7">
        <f>IF(J206=TRUE(),E206,0)</f>
        <v>0</v>
      </c>
      <c r="I206" s="7">
        <f>IF(K206=TRUE(),E206,0)</f>
        <v>0</v>
      </c>
      <c r="J206" t="b" s="4">
        <v>0</v>
      </c>
      <c r="K206" t="b" s="4">
        <v>0</v>
      </c>
    </row>
    <row r="207" ht="17" customHeight="1">
      <c r="A207" s="4">
        <v>172</v>
      </c>
      <c r="B207" s="5">
        <v>40732</v>
      </c>
      <c r="C207" t="s" s="3">
        <v>33</v>
      </c>
      <c r="D207" t="s" s="3">
        <v>144</v>
      </c>
      <c r="E207" s="6">
        <v>235000</v>
      </c>
      <c r="F207" s="6">
        <f>E207*0.19</f>
        <v>44650</v>
      </c>
      <c r="G207" s="6">
        <f>E207+F207</f>
        <v>279650</v>
      </c>
      <c r="H207" s="7">
        <f>IF(J207=TRUE(),E207,0)</f>
        <v>0</v>
      </c>
      <c r="I207" s="7">
        <f>IF(K207=TRUE(),E207,0)</f>
        <v>0</v>
      </c>
      <c r="J207" t="b" s="4">
        <v>0</v>
      </c>
      <c r="K207" t="b" s="4">
        <v>0</v>
      </c>
    </row>
    <row r="208" ht="17" customHeight="1">
      <c r="A208" s="4">
        <v>173</v>
      </c>
      <c r="B208" s="5">
        <v>40735</v>
      </c>
      <c r="C208" t="s" s="3">
        <v>33</v>
      </c>
      <c r="D208" t="s" s="3">
        <v>145</v>
      </c>
      <c r="E208" s="6">
        <v>1102435</v>
      </c>
      <c r="F208" s="6">
        <f>E208*0.19</f>
        <v>209462.65</v>
      </c>
      <c r="G208" s="6">
        <f>E208+F208</f>
        <v>1311897.65</v>
      </c>
      <c r="H208" s="7">
        <f>IF(J208=TRUE(),E208,0)</f>
        <v>0</v>
      </c>
      <c r="I208" s="7">
        <f>IF(K208=TRUE(),E208,0)</f>
        <v>0</v>
      </c>
      <c r="J208" t="b" s="4">
        <v>0</v>
      </c>
      <c r="K208" t="b" s="4">
        <v>0</v>
      </c>
    </row>
    <row r="209" ht="17" customHeight="1">
      <c r="A209" s="4">
        <v>174</v>
      </c>
      <c r="B209" s="5">
        <v>40735</v>
      </c>
      <c r="C209" t="s" s="3">
        <v>110</v>
      </c>
      <c r="D209" t="s" s="3">
        <v>146</v>
      </c>
      <c r="E209" s="6">
        <v>2218400</v>
      </c>
      <c r="F209" s="6">
        <f>E209*0.19</f>
        <v>421496</v>
      </c>
      <c r="G209" s="6">
        <f>E209+F209</f>
        <v>2639896</v>
      </c>
      <c r="H209" s="7">
        <f>IF(J209=TRUE(),E209,0)</f>
        <v>0</v>
      </c>
      <c r="I209" s="7">
        <f>IF(K209=TRUE(),E209,0)</f>
        <v>0</v>
      </c>
      <c r="J209" t="b" s="4">
        <v>0</v>
      </c>
      <c r="K209" t="b" s="4">
        <v>0</v>
      </c>
    </row>
    <row r="210" ht="17" customHeight="1">
      <c r="A210" s="4">
        <v>175</v>
      </c>
      <c r="B210" s="5">
        <v>40736</v>
      </c>
      <c r="C210" t="s" s="3">
        <v>25</v>
      </c>
      <c r="D210" t="s" s="3">
        <v>147</v>
      </c>
      <c r="E210" s="6">
        <v>43500</v>
      </c>
      <c r="F210" s="6">
        <f>E210*0.19</f>
        <v>8265</v>
      </c>
      <c r="G210" s="6">
        <f>E210+F210</f>
        <v>51765</v>
      </c>
      <c r="H210" s="7">
        <f>IF(J210=TRUE(),E210,0)</f>
        <v>0</v>
      </c>
      <c r="I210" s="7">
        <f>IF(K210=TRUE(),E210,0)</f>
        <v>0</v>
      </c>
      <c r="J210" t="b" s="4">
        <v>0</v>
      </c>
      <c r="K210" t="b" s="4">
        <v>0</v>
      </c>
    </row>
    <row r="211" ht="17" customHeight="1">
      <c r="A211" s="4">
        <v>176</v>
      </c>
      <c r="B211" s="5">
        <v>40737</v>
      </c>
      <c r="C211" t="s" s="3">
        <v>33</v>
      </c>
      <c r="D211" t="s" s="3">
        <v>148</v>
      </c>
      <c r="E211" s="6">
        <v>280000</v>
      </c>
      <c r="F211" s="6">
        <f>E211*0.19</f>
        <v>53200</v>
      </c>
      <c r="G211" s="6">
        <f>E211+F211</f>
        <v>333200</v>
      </c>
      <c r="H211" s="7">
        <f>IF(J211=TRUE(),E211,0)</f>
        <v>0</v>
      </c>
      <c r="I211" s="7">
        <f>IF(K211=TRUE(),E211,0)</f>
        <v>0</v>
      </c>
      <c r="J211" t="b" s="4">
        <v>0</v>
      </c>
      <c r="K211" t="b" s="4">
        <v>0</v>
      </c>
    </row>
    <row r="212" ht="17" customHeight="1">
      <c r="A212" s="4">
        <v>177</v>
      </c>
      <c r="B212" s="5">
        <v>40738</v>
      </c>
      <c r="C212" t="s" s="3">
        <v>10</v>
      </c>
      <c r="D212" t="s" s="3">
        <v>149</v>
      </c>
      <c r="E212" s="6">
        <v>408000</v>
      </c>
      <c r="F212" s="6">
        <f>E212*0.19</f>
        <v>77520</v>
      </c>
      <c r="G212" s="6">
        <f>E212+F212</f>
        <v>485520</v>
      </c>
      <c r="H212" s="7">
        <f>IF(J212=TRUE(),E212,0)</f>
        <v>0</v>
      </c>
      <c r="I212" s="7">
        <f>IF(K212=TRUE(),E212,0)</f>
        <v>0</v>
      </c>
      <c r="J212" t="b" s="4">
        <v>0</v>
      </c>
      <c r="K212" t="b" s="4">
        <v>0</v>
      </c>
    </row>
    <row r="213" ht="17" customHeight="1">
      <c r="A213" s="4">
        <v>178</v>
      </c>
      <c r="B213" s="5">
        <v>40738</v>
      </c>
      <c r="C213" t="s" s="3">
        <v>10</v>
      </c>
      <c r="D213" t="s" s="3">
        <v>150</v>
      </c>
      <c r="E213" s="6">
        <v>418000</v>
      </c>
      <c r="F213" s="6">
        <f>E213*0.19</f>
        <v>79420</v>
      </c>
      <c r="G213" s="6">
        <f>E213+F213</f>
        <v>497420</v>
      </c>
      <c r="H213" s="7">
        <f>IF(J213=TRUE(),E213,0)</f>
        <v>0</v>
      </c>
      <c r="I213" s="7">
        <f>IF(K213=TRUE(),E213,0)</f>
        <v>0</v>
      </c>
      <c r="J213" t="b" s="4">
        <v>0</v>
      </c>
      <c r="K213" t="b" s="4">
        <v>0</v>
      </c>
    </row>
    <row r="214" ht="17" customHeight="1">
      <c r="A214" s="4">
        <v>179</v>
      </c>
      <c r="B214" s="5">
        <v>40738</v>
      </c>
      <c r="C214" t="s" s="3">
        <v>10</v>
      </c>
      <c r="D214" t="s" s="3">
        <v>151</v>
      </c>
      <c r="E214" s="6">
        <v>72000</v>
      </c>
      <c r="F214" s="6">
        <f>E214*0.19</f>
        <v>13680</v>
      </c>
      <c r="G214" s="6">
        <f>E214+F214</f>
        <v>85680</v>
      </c>
      <c r="H214" s="7">
        <f>IF(J214=TRUE(),E214,0)</f>
        <v>0</v>
      </c>
      <c r="I214" s="7">
        <f>IF(K214=TRUE(),E214,0)</f>
        <v>0</v>
      </c>
      <c r="J214" t="b" s="4">
        <v>0</v>
      </c>
      <c r="K214" t="b" s="4">
        <v>0</v>
      </c>
    </row>
    <row r="215" ht="17" customHeight="1">
      <c r="A215" s="4">
        <v>180</v>
      </c>
      <c r="B215" s="5">
        <v>40725</v>
      </c>
      <c r="C215" t="s" s="3">
        <v>120</v>
      </c>
      <c r="D215" t="s" s="3">
        <v>140</v>
      </c>
      <c r="E215" s="6">
        <v>285792</v>
      </c>
      <c r="F215" s="6">
        <f>E215*0.19</f>
        <v>54300.48</v>
      </c>
      <c r="G215" s="6">
        <f>E215+F215</f>
        <v>340092.48</v>
      </c>
      <c r="H215" s="7">
        <f>IF(J215=TRUE(),E215,0)</f>
        <v>285792</v>
      </c>
      <c r="I215" s="7">
        <f>IF(K215=TRUE(),E215,0)</f>
        <v>0</v>
      </c>
      <c r="J215" t="b" s="4">
        <v>1</v>
      </c>
      <c r="K215" t="b" s="4">
        <v>0</v>
      </c>
    </row>
    <row r="216" ht="17" customHeight="1">
      <c r="A216" s="4">
        <v>181</v>
      </c>
      <c r="B216" s="5">
        <v>40725</v>
      </c>
      <c r="C216" t="s" s="3">
        <v>130</v>
      </c>
      <c r="D216" t="s" s="3">
        <v>140</v>
      </c>
      <c r="E216" s="6">
        <v>314917</v>
      </c>
      <c r="F216" s="6">
        <f>E216*0.19</f>
        <v>59834.23</v>
      </c>
      <c r="G216" s="6">
        <f>E216+F216</f>
        <v>374751.23</v>
      </c>
      <c r="H216" s="7">
        <f>IF(J216=TRUE(),E216,0)</f>
        <v>314917</v>
      </c>
      <c r="I216" s="7">
        <f>IF(K216=TRUE(),E216,0)</f>
        <v>0</v>
      </c>
      <c r="J216" t="b" s="4">
        <v>1</v>
      </c>
      <c r="K216" t="b" s="4">
        <v>0</v>
      </c>
    </row>
    <row r="217" ht="17" customHeight="1">
      <c r="A217" s="4">
        <v>182</v>
      </c>
      <c r="B217" s="5">
        <v>40725</v>
      </c>
      <c r="C217" t="s" s="3">
        <v>127</v>
      </c>
      <c r="D217" t="s" s="3">
        <v>140</v>
      </c>
      <c r="E217" s="6">
        <v>257292</v>
      </c>
      <c r="F217" s="6">
        <f>E217*0.19</f>
        <v>48885.48</v>
      </c>
      <c r="G217" s="6">
        <f>E217+F217</f>
        <v>306177.48</v>
      </c>
      <c r="H217" s="7">
        <f>IF(J217=TRUE(),E217,0)</f>
        <v>257292</v>
      </c>
      <c r="I217" s="7">
        <f>IF(K217=TRUE(),E217,0)</f>
        <v>0</v>
      </c>
      <c r="J217" t="b" s="4">
        <v>1</v>
      </c>
      <c r="K217" t="b" s="4">
        <v>0</v>
      </c>
    </row>
    <row r="218" ht="17" customHeight="1">
      <c r="A218" s="4">
        <v>183</v>
      </c>
      <c r="B218" s="5">
        <v>40745</v>
      </c>
      <c r="C218" t="s" s="3">
        <v>10</v>
      </c>
      <c r="D218" t="s" s="3">
        <v>152</v>
      </c>
      <c r="E218" s="6">
        <f>16*19000</f>
        <v>304000</v>
      </c>
      <c r="F218" s="6">
        <f>E218*0.19</f>
        <v>57760</v>
      </c>
      <c r="G218" s="6">
        <f>E218+F218</f>
        <v>361760</v>
      </c>
      <c r="H218" s="7">
        <f>IF(J218=TRUE(),E218,0)</f>
        <v>0</v>
      </c>
      <c r="I218" s="7">
        <f>IF(K218=TRUE(),E218,0)</f>
        <v>0</v>
      </c>
      <c r="J218" t="b" s="4">
        <v>0</v>
      </c>
      <c r="K218" t="b" s="4">
        <v>0</v>
      </c>
    </row>
    <row r="219" ht="17" customHeight="1">
      <c r="A219" s="4">
        <v>184</v>
      </c>
      <c r="B219" s="5">
        <v>40745</v>
      </c>
      <c r="C219" t="s" s="3">
        <v>45</v>
      </c>
      <c r="D219" t="s" s="3">
        <v>153</v>
      </c>
      <c r="E219" s="6">
        <v>257500</v>
      </c>
      <c r="F219" s="6">
        <f>E219*0.19</f>
        <v>48925</v>
      </c>
      <c r="G219" s="6">
        <f>E219+F219</f>
        <v>306425</v>
      </c>
      <c r="H219" s="7">
        <f>IF(J219=TRUE(),E219,0)</f>
        <v>0</v>
      </c>
      <c r="I219" s="7">
        <f>IF(K219=TRUE(),E219,0)</f>
        <v>0</v>
      </c>
      <c r="J219" t="b" s="4">
        <v>0</v>
      </c>
      <c r="K219" t="b" s="4">
        <v>0</v>
      </c>
    </row>
    <row r="220" ht="17" customHeight="1">
      <c r="A220" s="4">
        <v>185</v>
      </c>
      <c r="B220" s="5">
        <v>40750</v>
      </c>
      <c r="C220" t="s" s="3">
        <v>33</v>
      </c>
      <c r="D220" t="s" s="3">
        <v>154</v>
      </c>
      <c r="E220" s="6">
        <v>435000</v>
      </c>
      <c r="F220" s="6">
        <f>E220*0.19</f>
        <v>82650</v>
      </c>
      <c r="G220" s="6">
        <f>E220+F220</f>
        <v>517650</v>
      </c>
      <c r="H220" s="7">
        <f>IF(J220=TRUE(),E220,0)</f>
        <v>0</v>
      </c>
      <c r="I220" s="7">
        <f>IF(K220=TRUE(),E220,0)</f>
        <v>0</v>
      </c>
      <c r="J220" t="b" s="4">
        <v>0</v>
      </c>
      <c r="K220" t="b" s="4">
        <v>0</v>
      </c>
    </row>
    <row r="221" ht="17" customHeight="1">
      <c r="A221" s="4">
        <v>186</v>
      </c>
      <c r="B221" s="5">
        <v>40750</v>
      </c>
      <c r="C221" t="s" s="3">
        <v>33</v>
      </c>
      <c r="D221" t="s" s="3">
        <v>140</v>
      </c>
      <c r="E221" s="6">
        <v>78985</v>
      </c>
      <c r="F221" s="6">
        <f>E221*0.19</f>
        <v>15007.15</v>
      </c>
      <c r="G221" s="6">
        <f>E221+F221</f>
        <v>93992.149999999994</v>
      </c>
      <c r="H221" s="7">
        <f>IF(J221=TRUE(),E221,0)</f>
        <v>78985</v>
      </c>
      <c r="I221" s="7">
        <f>IF(K221=TRUE(),E221,0)</f>
        <v>0</v>
      </c>
      <c r="J221" t="b" s="4">
        <v>1</v>
      </c>
      <c r="K221" t="b" s="4">
        <v>0</v>
      </c>
    </row>
    <row r="222" ht="17" customHeight="1">
      <c r="A222" s="4">
        <v>187</v>
      </c>
      <c r="B222" s="5">
        <v>40751</v>
      </c>
      <c r="C222" t="s" s="3">
        <v>33</v>
      </c>
      <c r="D222" t="s" s="3">
        <v>155</v>
      </c>
      <c r="E222" s="6">
        <v>180950</v>
      </c>
      <c r="F222" s="6">
        <f>E222*0.19</f>
        <v>34380.5</v>
      </c>
      <c r="G222" s="6">
        <f>E222+F222</f>
        <v>215330.5</v>
      </c>
      <c r="H222" s="7">
        <f>IF(J222=TRUE(),E222,0)</f>
        <v>0</v>
      </c>
      <c r="I222" s="7">
        <f>IF(K222=TRUE(),E222,0)</f>
        <v>0</v>
      </c>
      <c r="J222" t="b" s="4">
        <v>0</v>
      </c>
      <c r="K222" t="b" s="4">
        <v>0</v>
      </c>
    </row>
    <row r="223" ht="17" customHeight="1">
      <c r="A223" s="4">
        <v>188</v>
      </c>
      <c r="B223" s="5">
        <v>40753</v>
      </c>
      <c r="C223" t="s" s="3">
        <v>10</v>
      </c>
      <c r="D223" t="s" s="3">
        <v>156</v>
      </c>
      <c r="E223" s="6">
        <f>9*19000</f>
        <v>171000</v>
      </c>
      <c r="F223" s="6">
        <f>E223*0.19</f>
        <v>32490</v>
      </c>
      <c r="G223" s="6">
        <f>E223+F223</f>
        <v>203490</v>
      </c>
      <c r="H223" s="7">
        <f>IF(J223=TRUE(),E223,0)</f>
        <v>0</v>
      </c>
      <c r="I223" s="7">
        <f>IF(K223=TRUE(),E223,0)</f>
        <v>0</v>
      </c>
      <c r="J223" t="b" s="4">
        <v>0</v>
      </c>
      <c r="K223" t="b" s="4">
        <v>0</v>
      </c>
    </row>
    <row r="224" ht="17" customHeight="1">
      <c r="A224" s="4">
        <v>189</v>
      </c>
      <c r="B224" s="5">
        <v>40753</v>
      </c>
      <c r="C224" t="s" s="3">
        <v>66</v>
      </c>
      <c r="D224" t="s" s="3">
        <v>157</v>
      </c>
      <c r="E224" s="6">
        <v>284200</v>
      </c>
      <c r="F224" s="6">
        <f>E224*0.19</f>
        <v>53998</v>
      </c>
      <c r="G224" s="6">
        <f>E224+F224</f>
        <v>338198</v>
      </c>
      <c r="H224" s="7">
        <f>IF(J224=TRUE(),E224,0)</f>
        <v>0</v>
      </c>
      <c r="I224" s="7">
        <f>IF(K224=TRUE(),E224,0)</f>
        <v>0</v>
      </c>
      <c r="J224" t="b" s="4">
        <v>0</v>
      </c>
      <c r="K224" t="b" s="4">
        <v>0</v>
      </c>
    </row>
    <row r="225" ht="17" customHeight="1">
      <c r="A225" s="4">
        <v>190</v>
      </c>
      <c r="B225" s="5">
        <v>40753</v>
      </c>
      <c r="C225" t="s" s="3">
        <v>98</v>
      </c>
      <c r="D225" t="s" s="3">
        <v>140</v>
      </c>
      <c r="E225" s="6">
        <v>266520</v>
      </c>
      <c r="F225" s="6">
        <f>E225*0.19</f>
        <v>50638.8</v>
      </c>
      <c r="G225" s="6">
        <f>E225+F225</f>
        <v>317158.8</v>
      </c>
      <c r="H225" s="7">
        <f>IF(J225=TRUE(),E225,0)</f>
        <v>266520</v>
      </c>
      <c r="I225" s="7">
        <f>IF(K225=TRUE(),E225,0)</f>
        <v>0</v>
      </c>
      <c r="J225" t="b" s="4">
        <v>1</v>
      </c>
      <c r="K225" t="b" s="4">
        <v>0</v>
      </c>
    </row>
    <row r="226" ht="17.5" customHeight="1">
      <c r="A226" s="9">
        <v>191</v>
      </c>
      <c r="B226" s="5">
        <v>40753</v>
      </c>
      <c r="C226" t="s" s="10">
        <v>92</v>
      </c>
      <c r="D226" t="s" s="10">
        <v>140</v>
      </c>
      <c r="E226" s="11">
        <v>641079</v>
      </c>
      <c r="F226" s="11">
        <f>E226*0.19</f>
        <v>121805.01</v>
      </c>
      <c r="G226" s="11">
        <f>E226+F226</f>
        <v>762884.01</v>
      </c>
      <c r="H226" s="12">
        <f>IF(J226=TRUE(),E226,0)</f>
        <v>641079</v>
      </c>
      <c r="I226" s="12">
        <f>IF(K226=TRUE(),E226,0)</f>
        <v>0</v>
      </c>
      <c r="J226" t="b" s="9">
        <v>1</v>
      </c>
      <c r="K226" t="b" s="9">
        <v>0</v>
      </c>
    </row>
    <row r="227" ht="18" customHeight="1">
      <c r="A227" s="13">
        <v>36</v>
      </c>
      <c r="B227" t="s" s="3">
        <v>158</v>
      </c>
      <c r="C227" t="s" s="14">
        <v>7</v>
      </c>
      <c r="D227" s="14"/>
      <c r="E227" s="15">
        <f>SUM(E191:E226)</f>
        <v>9956811</v>
      </c>
      <c r="F227" s="15">
        <f>SUM(F191:F226)</f>
        <v>1891794.09</v>
      </c>
      <c r="G227" s="16">
        <f>SUM(G191:G226)</f>
        <v>11848605.09</v>
      </c>
      <c r="H227" s="17">
        <f>SUM(H191:H226)</f>
        <v>3224826</v>
      </c>
      <c r="I227" s="17"/>
      <c r="J227" s="18">
        <f>COUNTIF(J191:J226,TRUE())</f>
        <v>21</v>
      </c>
      <c r="K227" s="19"/>
    </row>
    <row r="228" ht="17.5" customHeight="1">
      <c r="A228" s="20"/>
      <c r="B228" s="5"/>
      <c r="C228" s="20"/>
      <c r="D228" s="21"/>
      <c r="E228" s="20"/>
      <c r="F228" s="20"/>
      <c r="G228" s="20"/>
      <c r="H228" s="22"/>
      <c r="I228" s="22"/>
      <c r="J228" s="20"/>
      <c r="K228" s="20"/>
    </row>
    <row r="229" ht="17" customHeight="1">
      <c r="A229" t="s" s="3">
        <v>1</v>
      </c>
      <c r="B229" t="s" s="3">
        <v>2</v>
      </c>
      <c r="C229" t="s" s="3">
        <v>3</v>
      </c>
      <c r="D229" t="s" s="3">
        <v>4</v>
      </c>
      <c r="E229" t="s" s="3">
        <v>5</v>
      </c>
      <c r="F229" t="s" s="3">
        <v>6</v>
      </c>
      <c r="G229" t="s" s="3">
        <v>7</v>
      </c>
      <c r="H229" s="7"/>
      <c r="I229" s="7"/>
      <c r="J229" s="8"/>
      <c r="K229" s="8"/>
    </row>
    <row r="230" ht="17" customHeight="1">
      <c r="A230" s="4">
        <v>192</v>
      </c>
      <c r="B230" s="5">
        <v>40756</v>
      </c>
      <c r="C230" t="s" s="3">
        <v>22</v>
      </c>
      <c r="D230" t="s" s="3">
        <v>159</v>
      </c>
      <c r="E230" s="6">
        <v>149100</v>
      </c>
      <c r="F230" s="6">
        <f>E230*0.19</f>
        <v>28329</v>
      </c>
      <c r="G230" s="6">
        <f>E230+F230</f>
        <v>177429</v>
      </c>
      <c r="H230" s="7">
        <f>IF(J230=TRUE(),E230,0)</f>
        <v>149100</v>
      </c>
      <c r="I230" s="7">
        <f>IF(K230=TRUE(),E230,0)</f>
        <v>0</v>
      </c>
      <c r="J230" t="b" s="4">
        <v>1</v>
      </c>
      <c r="K230" t="b" s="4">
        <v>0</v>
      </c>
    </row>
    <row r="231" ht="17" customHeight="1">
      <c r="A231" s="4">
        <v>193</v>
      </c>
      <c r="B231" s="5">
        <v>40756</v>
      </c>
      <c r="C231" t="s" s="3">
        <v>30</v>
      </c>
      <c r="D231" t="s" s="3">
        <v>159</v>
      </c>
      <c r="E231" s="6">
        <v>74000</v>
      </c>
      <c r="F231" s="6">
        <f>E231*0.19</f>
        <v>14060</v>
      </c>
      <c r="G231" s="6">
        <f>E231+F231</f>
        <v>88060</v>
      </c>
      <c r="H231" s="7">
        <f>IF(J231=TRUE(),E231,0)</f>
        <v>74000</v>
      </c>
      <c r="I231" s="7">
        <f>IF(K231=TRUE(),E231,0)</f>
        <v>0</v>
      </c>
      <c r="J231" t="b" s="4">
        <v>1</v>
      </c>
      <c r="K231" t="b" s="4">
        <v>0</v>
      </c>
    </row>
    <row r="232" ht="17" customHeight="1">
      <c r="A232" s="4">
        <v>194</v>
      </c>
      <c r="B232" s="5"/>
      <c r="C232" t="s" s="3">
        <v>160</v>
      </c>
      <c r="D232" s="3"/>
      <c r="E232" s="8"/>
      <c r="F232" s="8"/>
      <c r="G232" s="8"/>
      <c r="H232" s="7">
        <f>IF(J232=TRUE(),E232,0)</f>
        <v>0</v>
      </c>
      <c r="I232" s="7">
        <f>IF(K232=TRUE(),E232,0)</f>
        <v>0</v>
      </c>
      <c r="J232" t="b" s="4">
        <v>0</v>
      </c>
      <c r="K232" t="b" s="4">
        <v>0</v>
      </c>
    </row>
    <row r="233" ht="17" customHeight="1">
      <c r="A233" s="4">
        <v>195</v>
      </c>
      <c r="B233" s="5">
        <v>40756</v>
      </c>
      <c r="C233" t="s" s="3">
        <v>56</v>
      </c>
      <c r="D233" t="s" s="3">
        <v>159</v>
      </c>
      <c r="E233" s="6">
        <v>125000</v>
      </c>
      <c r="F233" s="6">
        <f>E233*0.19</f>
        <v>23750</v>
      </c>
      <c r="G233" s="6">
        <f>E233+F233</f>
        <v>148750</v>
      </c>
      <c r="H233" s="7">
        <f>IF(J233=TRUE(),E233,0)</f>
        <v>125000</v>
      </c>
      <c r="I233" s="7">
        <f>IF(K233=TRUE(),E233,0)</f>
        <v>0</v>
      </c>
      <c r="J233" t="b" s="4">
        <v>1</v>
      </c>
      <c r="K233" t="b" s="4">
        <v>0</v>
      </c>
    </row>
    <row r="234" ht="17" customHeight="1">
      <c r="A234" s="4">
        <v>196</v>
      </c>
      <c r="B234" s="5">
        <v>40756</v>
      </c>
      <c r="C234" t="s" s="3">
        <v>42</v>
      </c>
      <c r="D234" t="s" s="3">
        <v>159</v>
      </c>
      <c r="E234" s="6">
        <v>157500</v>
      </c>
      <c r="F234" s="6">
        <f>E234*0.19</f>
        <v>29925</v>
      </c>
      <c r="G234" s="6">
        <f>E234+F234</f>
        <v>187425</v>
      </c>
      <c r="H234" s="7">
        <f>IF(J234=TRUE(),E234,0)</f>
        <v>157500</v>
      </c>
      <c r="I234" s="7">
        <f>IF(K234=TRUE(),E234,0)</f>
        <v>0</v>
      </c>
      <c r="J234" t="b" s="4">
        <v>1</v>
      </c>
      <c r="K234" t="b" s="4">
        <v>0</v>
      </c>
    </row>
    <row r="235" ht="17" customHeight="1">
      <c r="A235" s="4">
        <v>197</v>
      </c>
      <c r="B235" s="5">
        <v>40756</v>
      </c>
      <c r="C235" t="s" s="3">
        <v>60</v>
      </c>
      <c r="D235" t="s" s="3">
        <v>159</v>
      </c>
      <c r="E235" s="6">
        <v>30625</v>
      </c>
      <c r="F235" s="6">
        <f>E235*0.19</f>
        <v>5818.75</v>
      </c>
      <c r="G235" s="6">
        <f>E235+F235</f>
        <v>36443.75</v>
      </c>
      <c r="H235" s="7">
        <f>IF(J235=TRUE(),E235,0)</f>
        <v>30625</v>
      </c>
      <c r="I235" s="7">
        <f>IF(K235=TRUE(),E235,0)</f>
        <v>0</v>
      </c>
      <c r="J235" t="b" s="4">
        <v>1</v>
      </c>
      <c r="K235" t="b" s="4">
        <v>0</v>
      </c>
    </row>
    <row r="236" ht="17" customHeight="1">
      <c r="A236" s="4">
        <v>198</v>
      </c>
      <c r="B236" s="5">
        <v>40756</v>
      </c>
      <c r="C236" t="s" s="3">
        <v>34</v>
      </c>
      <c r="D236" t="s" s="3">
        <v>159</v>
      </c>
      <c r="E236" s="6">
        <v>25500</v>
      </c>
      <c r="F236" s="6">
        <f>E236*0.19</f>
        <v>4845</v>
      </c>
      <c r="G236" s="6">
        <f>E236+F236</f>
        <v>30345</v>
      </c>
      <c r="H236" s="7">
        <f>IF(J236=TRUE(),E236,0)</f>
        <v>25500</v>
      </c>
      <c r="I236" s="7">
        <f>IF(K236=TRUE(),E236,0)</f>
        <v>0</v>
      </c>
      <c r="J236" t="b" s="4">
        <v>1</v>
      </c>
      <c r="K236" t="b" s="4">
        <v>0</v>
      </c>
    </row>
    <row r="237" ht="17" customHeight="1">
      <c r="A237" s="4">
        <v>199</v>
      </c>
      <c r="B237" s="5">
        <v>40756</v>
      </c>
      <c r="C237" t="s" s="3">
        <v>40</v>
      </c>
      <c r="D237" t="s" s="3">
        <v>159</v>
      </c>
      <c r="E237" s="6">
        <v>158000</v>
      </c>
      <c r="F237" s="6">
        <f>E237*0.19</f>
        <v>30020</v>
      </c>
      <c r="G237" s="6">
        <f>E237+F237</f>
        <v>188020</v>
      </c>
      <c r="H237" s="7">
        <f>IF(J237=TRUE(),E237,0)</f>
        <v>158000</v>
      </c>
      <c r="I237" s="7">
        <f>IF(K237=TRUE(),E237,0)</f>
        <v>0</v>
      </c>
      <c r="J237" t="b" s="4">
        <v>1</v>
      </c>
      <c r="K237" t="b" s="4">
        <v>0</v>
      </c>
    </row>
    <row r="238" ht="17" customHeight="1">
      <c r="A238" s="4">
        <v>200</v>
      </c>
      <c r="B238" s="5">
        <v>40756</v>
      </c>
      <c r="C238" t="s" s="3">
        <v>66</v>
      </c>
      <c r="D238" t="s" s="3">
        <v>159</v>
      </c>
      <c r="E238" s="6">
        <v>105750</v>
      </c>
      <c r="F238" s="6">
        <f>E238*0.19</f>
        <v>20092.5</v>
      </c>
      <c r="G238" s="6">
        <f>E238+F238</f>
        <v>125842.5</v>
      </c>
      <c r="H238" s="7">
        <f>IF(J238=TRUE(),E238,0)</f>
        <v>105750</v>
      </c>
      <c r="I238" s="7">
        <f>IF(K238=TRUE(),E238,0)</f>
        <v>0</v>
      </c>
      <c r="J238" t="b" s="4">
        <v>1</v>
      </c>
      <c r="K238" t="b" s="4">
        <v>0</v>
      </c>
    </row>
    <row r="239" ht="17" customHeight="1">
      <c r="A239" s="4">
        <v>201</v>
      </c>
      <c r="B239" s="5">
        <v>40756</v>
      </c>
      <c r="C239" t="s" s="3">
        <v>120</v>
      </c>
      <c r="D239" t="s" s="3">
        <v>159</v>
      </c>
      <c r="E239" s="6">
        <v>285792</v>
      </c>
      <c r="F239" s="6">
        <f>E239*0.19</f>
        <v>54300.48</v>
      </c>
      <c r="G239" s="6">
        <f>E239+F239</f>
        <v>340092.48</v>
      </c>
      <c r="H239" s="7">
        <f>IF(J239=TRUE(),E239,0)</f>
        <v>285792</v>
      </c>
      <c r="I239" s="7">
        <f>IF(K239=TRUE(),E239,0)</f>
        <v>0</v>
      </c>
      <c r="J239" t="b" s="4">
        <v>1</v>
      </c>
      <c r="K239" t="b" s="4">
        <v>0</v>
      </c>
    </row>
    <row r="240" ht="17" customHeight="1">
      <c r="A240" s="4">
        <v>202</v>
      </c>
      <c r="B240" s="5">
        <v>40756</v>
      </c>
      <c r="C240" t="s" s="3">
        <v>130</v>
      </c>
      <c r="D240" t="s" s="3">
        <v>159</v>
      </c>
      <c r="E240" s="6">
        <v>323917</v>
      </c>
      <c r="F240" s="6">
        <f>E240*0.19</f>
        <v>61544.23</v>
      </c>
      <c r="G240" s="6">
        <f>E240+F240</f>
        <v>385461.23</v>
      </c>
      <c r="H240" s="7">
        <f>IF(J240=TRUE(),E240,0)</f>
        <v>323917</v>
      </c>
      <c r="I240" s="7">
        <f>IF(K240=TRUE(),E240,0)</f>
        <v>0</v>
      </c>
      <c r="J240" t="b" s="4">
        <v>1</v>
      </c>
      <c r="K240" t="b" s="4">
        <v>0</v>
      </c>
    </row>
    <row r="241" ht="17" customHeight="1">
      <c r="A241" s="4">
        <v>203</v>
      </c>
      <c r="B241" s="5">
        <v>40756</v>
      </c>
      <c r="C241" t="s" s="3">
        <v>127</v>
      </c>
      <c r="D241" t="s" s="3">
        <v>159</v>
      </c>
      <c r="E241" s="6">
        <v>257292</v>
      </c>
      <c r="F241" s="6">
        <f>E241*0.19</f>
        <v>48885.48</v>
      </c>
      <c r="G241" s="6">
        <f>E241+F241</f>
        <v>306177.48</v>
      </c>
      <c r="H241" s="7">
        <f>IF(J241=TRUE(),E241,0)</f>
        <v>257292</v>
      </c>
      <c r="I241" s="7">
        <f>IF(K241=TRUE(),E241,0)</f>
        <v>0</v>
      </c>
      <c r="J241" t="b" s="4">
        <v>1</v>
      </c>
      <c r="K241" t="b" s="4">
        <v>0</v>
      </c>
    </row>
    <row r="242" ht="17" customHeight="1">
      <c r="A242" s="4">
        <v>204</v>
      </c>
      <c r="B242" s="5">
        <v>40757</v>
      </c>
      <c r="C242" t="s" s="3">
        <v>10</v>
      </c>
      <c r="D242" t="s" s="3">
        <v>161</v>
      </c>
      <c r="E242" s="6">
        <f>3*19000</f>
        <v>57000</v>
      </c>
      <c r="F242" s="6">
        <f>E242*0.19</f>
        <v>10830</v>
      </c>
      <c r="G242" s="6">
        <f>E242+F242</f>
        <v>67830</v>
      </c>
      <c r="H242" s="7">
        <f>IF(J242=TRUE(),E242,0)</f>
        <v>0</v>
      </c>
      <c r="I242" s="7">
        <f>IF(K242=TRUE(),E242,0)</f>
        <v>0</v>
      </c>
      <c r="J242" t="b" s="4">
        <v>0</v>
      </c>
      <c r="K242" t="b" s="4">
        <v>0</v>
      </c>
    </row>
    <row r="243" ht="17" customHeight="1">
      <c r="A243" s="4">
        <v>205</v>
      </c>
      <c r="B243" s="5">
        <v>40759</v>
      </c>
      <c r="C243" t="s" s="3">
        <v>130</v>
      </c>
      <c r="D243" t="s" s="3">
        <v>162</v>
      </c>
      <c r="E243" s="6">
        <v>18000</v>
      </c>
      <c r="F243" s="6">
        <f>E243*0.19</f>
        <v>3420</v>
      </c>
      <c r="G243" s="6">
        <f>E243+F243</f>
        <v>21420</v>
      </c>
      <c r="H243" s="7">
        <f>IF(J243=TRUE(),E243,0)</f>
        <v>0</v>
      </c>
      <c r="I243" s="7">
        <f>IF(K243=TRUE(),E243,0)</f>
        <v>0</v>
      </c>
      <c r="J243" t="b" s="4">
        <v>0</v>
      </c>
      <c r="K243" t="b" s="4">
        <v>0</v>
      </c>
    </row>
    <row r="244" ht="17" customHeight="1">
      <c r="A244" s="4">
        <v>206</v>
      </c>
      <c r="B244" s="5">
        <v>40763</v>
      </c>
      <c r="C244" t="s" s="3">
        <v>66</v>
      </c>
      <c r="D244" t="s" s="3">
        <v>163</v>
      </c>
      <c r="E244" s="6">
        <v>561050</v>
      </c>
      <c r="F244" s="6">
        <f>E244*0.19</f>
        <v>106599.5</v>
      </c>
      <c r="G244" s="6">
        <f>E244+F244</f>
        <v>667649.5</v>
      </c>
      <c r="H244" s="7">
        <f>IF(J244=TRUE(),E244,0)</f>
        <v>0</v>
      </c>
      <c r="I244" s="7">
        <f>IF(K244=TRUE(),E244,0)</f>
        <v>0</v>
      </c>
      <c r="J244" t="b" s="4">
        <v>0</v>
      </c>
      <c r="K244" t="b" s="4">
        <v>0</v>
      </c>
    </row>
    <row r="245" ht="17" customHeight="1">
      <c r="A245" s="4">
        <v>207</v>
      </c>
      <c r="B245" s="5">
        <v>40765</v>
      </c>
      <c r="C245" t="s" s="3">
        <v>30</v>
      </c>
      <c r="D245" t="s" s="3">
        <v>164</v>
      </c>
      <c r="E245" s="6">
        <v>728193</v>
      </c>
      <c r="F245" s="6">
        <f>E245*0.19</f>
        <v>138356.67</v>
      </c>
      <c r="G245" s="6">
        <f>E245+F245</f>
        <v>866549.67</v>
      </c>
      <c r="H245" s="7">
        <f>IF(J245=TRUE(),E245,0)</f>
        <v>0</v>
      </c>
      <c r="I245" s="7">
        <f>IF(K245=TRUE(),E245,0)</f>
        <v>0</v>
      </c>
      <c r="J245" t="b" s="4">
        <v>0</v>
      </c>
      <c r="K245" t="b" s="4">
        <v>0</v>
      </c>
    </row>
    <row r="246" ht="17" customHeight="1">
      <c r="A246" s="4">
        <v>208</v>
      </c>
      <c r="B246" s="5">
        <v>40767</v>
      </c>
      <c r="C246" t="s" s="3">
        <v>165</v>
      </c>
      <c r="D246" t="s" s="3">
        <v>166</v>
      </c>
      <c r="E246" s="6">
        <v>142060</v>
      </c>
      <c r="F246" s="6">
        <f>E246*0.19</f>
        <v>26991.4</v>
      </c>
      <c r="G246" s="6">
        <f>E246+F246</f>
        <v>169051.4</v>
      </c>
      <c r="H246" s="7">
        <f>IF(J246=TRUE(),E246,0)</f>
        <v>0</v>
      </c>
      <c r="I246" s="7">
        <f>IF(K246=TRUE(),E246,0)</f>
        <v>0</v>
      </c>
      <c r="J246" t="b" s="4">
        <v>0</v>
      </c>
      <c r="K246" t="b" s="4">
        <v>0</v>
      </c>
    </row>
    <row r="247" ht="17" customHeight="1">
      <c r="A247" s="4">
        <v>209</v>
      </c>
      <c r="B247" s="5">
        <v>40774</v>
      </c>
      <c r="C247" t="s" s="3">
        <v>167</v>
      </c>
      <c r="D247" t="s" s="3">
        <v>168</v>
      </c>
      <c r="E247" s="6">
        <v>1306500</v>
      </c>
      <c r="F247" s="6">
        <f>E247*0.19</f>
        <v>248235</v>
      </c>
      <c r="G247" s="6">
        <f>E247+F247</f>
        <v>1554735</v>
      </c>
      <c r="H247" s="7">
        <f>IF(J247=TRUE(),E247,0)</f>
        <v>0</v>
      </c>
      <c r="I247" s="7">
        <f>IF(K247=TRUE(),E247,0)</f>
        <v>0</v>
      </c>
      <c r="J247" t="b" s="4">
        <v>0</v>
      </c>
      <c r="K247" t="b" s="4">
        <v>0</v>
      </c>
    </row>
    <row r="248" ht="17" customHeight="1">
      <c r="A248" s="4">
        <v>210</v>
      </c>
      <c r="B248" s="5">
        <v>40771</v>
      </c>
      <c r="C248" t="s" s="3">
        <v>92</v>
      </c>
      <c r="D248" t="s" s="3">
        <v>169</v>
      </c>
      <c r="E248" s="6">
        <v>225000</v>
      </c>
      <c r="F248" s="6">
        <f>E248*0.19</f>
        <v>42750</v>
      </c>
      <c r="G248" s="6">
        <f>E248+F248</f>
        <v>267750</v>
      </c>
      <c r="H248" s="7">
        <f>IF(J248=TRUE(),E248,0)</f>
        <v>0</v>
      </c>
      <c r="I248" s="7">
        <f>IF(K248=TRUE(),E248,0)</f>
        <v>0</v>
      </c>
      <c r="J248" t="b" s="4">
        <v>0</v>
      </c>
      <c r="K248" t="b" s="4">
        <v>0</v>
      </c>
    </row>
    <row r="249" ht="17" customHeight="1">
      <c r="A249" s="4">
        <v>211</v>
      </c>
      <c r="B249" s="5">
        <v>40777</v>
      </c>
      <c r="C249" t="s" s="3">
        <v>33</v>
      </c>
      <c r="D249" t="s" s="3">
        <v>159</v>
      </c>
      <c r="E249" s="6">
        <v>721468</v>
      </c>
      <c r="F249" s="6">
        <f>E249*0.19</f>
        <v>137078.92</v>
      </c>
      <c r="G249" s="6">
        <f>E249+F249</f>
        <v>858546.92</v>
      </c>
      <c r="H249" s="7">
        <f>IF(J249=TRUE(),E249,0)</f>
        <v>0</v>
      </c>
      <c r="I249" s="7">
        <f>IF(K249=TRUE(),E249,0)</f>
        <v>0</v>
      </c>
      <c r="J249" t="b" s="4">
        <v>0</v>
      </c>
      <c r="K249" t="b" s="4">
        <v>0</v>
      </c>
    </row>
    <row r="250" ht="17" customHeight="1">
      <c r="A250" s="4">
        <v>212</v>
      </c>
      <c r="B250" s="5">
        <v>40777</v>
      </c>
      <c r="C250" t="s" s="3">
        <v>33</v>
      </c>
      <c r="D250" t="s" s="3">
        <v>170</v>
      </c>
      <c r="E250" s="6">
        <v>100000</v>
      </c>
      <c r="F250" s="6">
        <f>E250*0.19</f>
        <v>19000</v>
      </c>
      <c r="G250" s="6">
        <f>E250+F250</f>
        <v>119000</v>
      </c>
      <c r="H250" s="7">
        <f>IF(J250=TRUE(),E250,0)</f>
        <v>0</v>
      </c>
      <c r="I250" s="7">
        <f>IF(K250=TRUE(),E250,0)</f>
        <v>0</v>
      </c>
      <c r="J250" t="b" s="4">
        <v>0</v>
      </c>
      <c r="K250" t="b" s="4">
        <v>0</v>
      </c>
    </row>
    <row r="251" ht="17" customHeight="1">
      <c r="A251" s="4">
        <v>213</v>
      </c>
      <c r="B251" s="5">
        <v>40772</v>
      </c>
      <c r="C251" t="s" s="3">
        <v>10</v>
      </c>
      <c r="D251" t="s" s="3">
        <v>171</v>
      </c>
      <c r="E251" s="6">
        <v>332500</v>
      </c>
      <c r="F251" s="6">
        <f>E251*0.19</f>
        <v>63175</v>
      </c>
      <c r="G251" s="6">
        <f>E251+F251</f>
        <v>395675</v>
      </c>
      <c r="H251" s="7">
        <f>IF(J251=TRUE(),E251,0)</f>
        <v>0</v>
      </c>
      <c r="I251" s="7">
        <f>IF(K251=TRUE(),E251,0)</f>
        <v>0</v>
      </c>
      <c r="J251" t="b" s="4">
        <v>0</v>
      </c>
      <c r="K251" t="b" s="4">
        <v>0</v>
      </c>
    </row>
    <row r="252" ht="17" customHeight="1">
      <c r="A252" s="4">
        <v>214</v>
      </c>
      <c r="B252" s="5">
        <v>40774</v>
      </c>
      <c r="C252" t="s" s="3">
        <v>172</v>
      </c>
      <c r="D252" t="s" s="3">
        <v>173</v>
      </c>
      <c r="E252" s="6">
        <v>687200</v>
      </c>
      <c r="F252" s="6">
        <f>E252*0.19</f>
        <v>130568</v>
      </c>
      <c r="G252" s="6">
        <f>E252+F252</f>
        <v>817768</v>
      </c>
      <c r="H252" s="7">
        <f>IF(J252=TRUE(),E252,0)</f>
        <v>0</v>
      </c>
      <c r="I252" s="7">
        <f>IF(K252=TRUE(),E252,0)</f>
        <v>0</v>
      </c>
      <c r="J252" t="b" s="4">
        <v>0</v>
      </c>
      <c r="K252" t="b" s="4">
        <v>0</v>
      </c>
    </row>
    <row r="253" ht="17" customHeight="1">
      <c r="A253" s="4">
        <v>215</v>
      </c>
      <c r="B253" s="5">
        <v>40774</v>
      </c>
      <c r="C253" t="s" s="3">
        <v>174</v>
      </c>
      <c r="D253" t="s" s="3">
        <v>173</v>
      </c>
      <c r="E253" s="6">
        <v>687200</v>
      </c>
      <c r="F253" s="6">
        <f>E253*0.19</f>
        <v>130568</v>
      </c>
      <c r="G253" s="6">
        <f>E253+F253</f>
        <v>817768</v>
      </c>
      <c r="H253" s="7">
        <f>IF(J253=TRUE(),E253,0)</f>
        <v>0</v>
      </c>
      <c r="I253" s="7">
        <f>IF(K253=TRUE(),E253,0)</f>
        <v>0</v>
      </c>
      <c r="J253" t="b" s="4">
        <v>0</v>
      </c>
      <c r="K253" t="b" s="4">
        <v>0</v>
      </c>
    </row>
    <row r="254" ht="17" customHeight="1">
      <c r="A254" s="4">
        <v>216</v>
      </c>
      <c r="B254" s="5">
        <v>40781</v>
      </c>
      <c r="C254" t="s" s="3">
        <v>10</v>
      </c>
      <c r="D254" t="s" s="3">
        <v>175</v>
      </c>
      <c r="E254" s="6">
        <v>20000</v>
      </c>
      <c r="F254" s="6">
        <f>E254*0.19</f>
        <v>3800</v>
      </c>
      <c r="G254" s="6">
        <f>E254+F254</f>
        <v>23800</v>
      </c>
      <c r="H254" s="7">
        <f>IF(J254=TRUE(),E254,0)</f>
        <v>0</v>
      </c>
      <c r="I254" s="7">
        <f>IF(K254=TRUE(),E254,0)</f>
        <v>0</v>
      </c>
      <c r="J254" t="b" s="4">
        <v>0</v>
      </c>
      <c r="K254" t="b" s="4">
        <v>0</v>
      </c>
    </row>
    <row r="255" ht="17" customHeight="1">
      <c r="A255" s="4">
        <v>217</v>
      </c>
      <c r="B255" s="5">
        <v>40765</v>
      </c>
      <c r="C255" t="s" s="3">
        <v>176</v>
      </c>
      <c r="D255" t="s" s="3">
        <v>177</v>
      </c>
      <c r="E255" s="6">
        <v>277500</v>
      </c>
      <c r="F255" s="6">
        <f>E255*0.19</f>
        <v>52725</v>
      </c>
      <c r="G255" s="6">
        <f>E255+F255</f>
        <v>330225</v>
      </c>
      <c r="H255" s="7">
        <f>IF(J255=TRUE(),E255,0)</f>
        <v>0</v>
      </c>
      <c r="I255" s="7">
        <f>IF(K255=TRUE(),E255,0)</f>
        <v>0</v>
      </c>
      <c r="J255" t="b" s="4">
        <v>0</v>
      </c>
      <c r="K255" t="b" s="4">
        <v>0</v>
      </c>
    </row>
    <row r="256" ht="17" customHeight="1">
      <c r="A256" s="4">
        <v>218</v>
      </c>
      <c r="B256" s="5">
        <v>40785</v>
      </c>
      <c r="C256" t="s" s="3">
        <v>98</v>
      </c>
      <c r="D256" t="s" s="3">
        <v>159</v>
      </c>
      <c r="E256" s="6">
        <v>266520</v>
      </c>
      <c r="F256" s="6">
        <f>E256*0.19</f>
        <v>50638.8</v>
      </c>
      <c r="G256" s="6">
        <f>E256+F256</f>
        <v>317158.8</v>
      </c>
      <c r="H256" s="7">
        <f>IF(J256=TRUE(),E256,0)</f>
        <v>266520</v>
      </c>
      <c r="I256" s="7">
        <f>IF(K256=TRUE(),E256,0)</f>
        <v>0</v>
      </c>
      <c r="J256" t="b" s="4">
        <v>1</v>
      </c>
      <c r="K256" t="b" s="4">
        <v>0</v>
      </c>
    </row>
    <row r="257" ht="17.5" customHeight="1">
      <c r="A257" s="9">
        <v>219</v>
      </c>
      <c r="B257" s="5">
        <v>40785</v>
      </c>
      <c r="C257" t="s" s="10">
        <v>92</v>
      </c>
      <c r="D257" t="s" s="10">
        <v>159</v>
      </c>
      <c r="E257" s="11">
        <v>641079</v>
      </c>
      <c r="F257" s="11">
        <f>E257*0.19</f>
        <v>121805.01</v>
      </c>
      <c r="G257" s="11">
        <f>E257+F257</f>
        <v>762884.01</v>
      </c>
      <c r="H257" s="12">
        <f>IF(J257=TRUE(),E257,0)</f>
        <v>641079</v>
      </c>
      <c r="I257" s="12">
        <f>IF(K257=TRUE(),E257,0)</f>
        <v>0</v>
      </c>
      <c r="J257" t="b" s="9">
        <v>1</v>
      </c>
      <c r="K257" t="b" s="9">
        <v>0</v>
      </c>
    </row>
    <row r="258" ht="18" customHeight="1">
      <c r="A258" s="13">
        <f>COUNT(A230:A257)</f>
        <v>28</v>
      </c>
      <c r="B258" t="s" s="3">
        <v>178</v>
      </c>
      <c r="C258" t="s" s="14">
        <v>7</v>
      </c>
      <c r="D258" s="14"/>
      <c r="E258" s="15">
        <f>SUM(E230:E257)</f>
        <v>8463746</v>
      </c>
      <c r="F258" s="15">
        <f>SUM(F230:F257)</f>
        <v>1608111.74</v>
      </c>
      <c r="G258" s="16">
        <f>SUM(G230:G257)</f>
        <v>10071857.74</v>
      </c>
      <c r="H258" s="17">
        <f>SUM(H230:H257)</f>
        <v>2600075</v>
      </c>
      <c r="I258" s="17"/>
      <c r="J258" s="18">
        <f>COUNTIF(J230:J257,TRUE())</f>
        <v>13</v>
      </c>
      <c r="K258" s="19"/>
    </row>
    <row r="259" ht="17.5" customHeight="1">
      <c r="A259" s="20"/>
      <c r="B259" s="5"/>
      <c r="C259" s="20"/>
      <c r="D259" s="21"/>
      <c r="E259" s="20"/>
      <c r="F259" s="20"/>
      <c r="G259" s="20"/>
      <c r="H259" s="22"/>
      <c r="I259" s="22"/>
      <c r="J259" s="20"/>
      <c r="K259" s="20"/>
    </row>
    <row r="260" ht="17" customHeight="1">
      <c r="A260" t="s" s="3">
        <v>1</v>
      </c>
      <c r="B260" t="s" s="3">
        <v>2</v>
      </c>
      <c r="C260" t="s" s="3">
        <v>3</v>
      </c>
      <c r="D260" t="s" s="3">
        <v>4</v>
      </c>
      <c r="E260" t="s" s="3">
        <v>5</v>
      </c>
      <c r="F260" t="s" s="3">
        <v>6</v>
      </c>
      <c r="G260" t="s" s="3">
        <v>7</v>
      </c>
      <c r="H260" s="7"/>
      <c r="I260" s="7"/>
      <c r="J260" s="8"/>
      <c r="K260" s="8"/>
    </row>
    <row r="261" ht="17" customHeight="1">
      <c r="A261" t="s" s="3">
        <v>179</v>
      </c>
      <c r="B261" s="5">
        <v>40787</v>
      </c>
      <c r="C261" t="s" s="3">
        <v>22</v>
      </c>
      <c r="D261" t="s" s="3">
        <f>D275</f>
        <v>180</v>
      </c>
      <c r="E261" s="6">
        <f>-E263</f>
        <v>-149100</v>
      </c>
      <c r="F261" s="6">
        <f>-F264</f>
        <v>-28329</v>
      </c>
      <c r="G261" s="6">
        <f>-G264</f>
        <v>-177429</v>
      </c>
      <c r="H261" s="7">
        <f>IF(J261=TRUE(),E261,0)</f>
        <v>-149100</v>
      </c>
      <c r="I261" s="7">
        <f>IF(K261=TRUE(),E261,0)</f>
        <v>0</v>
      </c>
      <c r="J261" t="b" s="4">
        <v>1</v>
      </c>
      <c r="K261" t="b" s="4">
        <v>0</v>
      </c>
    </row>
    <row r="262" ht="17" customHeight="1">
      <c r="A262" t="s" s="3">
        <v>181</v>
      </c>
      <c r="B262" s="5">
        <v>40813</v>
      </c>
      <c r="C262" t="s" s="3">
        <v>92</v>
      </c>
      <c r="D262" t="s" s="3">
        <f>D276</f>
        <v>180</v>
      </c>
      <c r="E262" s="6">
        <v>-67482</v>
      </c>
      <c r="F262" s="6">
        <f>E262*0.19</f>
        <v>-12821.58</v>
      </c>
      <c r="G262" s="6">
        <f>F262+E262</f>
        <v>-80303.58</v>
      </c>
      <c r="H262" s="7">
        <f>IF(J262=TRUE(),E262,0)</f>
        <v>-67482</v>
      </c>
      <c r="I262" s="7">
        <f>IF(K262=TRUE(),E262,0)</f>
        <v>0</v>
      </c>
      <c r="J262" t="b" s="4">
        <v>1</v>
      </c>
      <c r="K262" t="b" s="4">
        <v>0</v>
      </c>
    </row>
    <row r="263" ht="17" customHeight="1">
      <c r="A263" s="4">
        <v>220</v>
      </c>
      <c r="B263" s="5">
        <v>40787</v>
      </c>
      <c r="C263" t="s" s="3">
        <v>22</v>
      </c>
      <c r="D263" t="s" s="3">
        <v>180</v>
      </c>
      <c r="E263" s="6">
        <v>149100</v>
      </c>
      <c r="F263" s="6">
        <f>E263*0.19</f>
        <v>28329</v>
      </c>
      <c r="G263" s="6">
        <f>E263+F263</f>
        <v>177429</v>
      </c>
      <c r="H263" s="7">
        <f>IF(J263=TRUE(),E263,0)</f>
        <v>149100</v>
      </c>
      <c r="I263" s="7">
        <f>IF(K263=TRUE(),E263,0)</f>
        <v>0</v>
      </c>
      <c r="J263" t="b" s="4">
        <v>1</v>
      </c>
      <c r="K263" t="b" s="4">
        <v>0</v>
      </c>
    </row>
    <row r="264" ht="17" customHeight="1">
      <c r="A264" s="4">
        <v>221</v>
      </c>
      <c r="B264" s="5">
        <v>40787</v>
      </c>
      <c r="C264" t="s" s="3">
        <v>22</v>
      </c>
      <c r="D264" t="s" s="3">
        <v>180</v>
      </c>
      <c r="E264" s="6">
        <v>149100</v>
      </c>
      <c r="F264" s="6">
        <f>E264*0.19</f>
        <v>28329</v>
      </c>
      <c r="G264" s="6">
        <f>E264+F264</f>
        <v>177429</v>
      </c>
      <c r="H264" s="7">
        <f>IF(J264=TRUE(),E264,0)</f>
        <v>149100</v>
      </c>
      <c r="I264" s="7">
        <f>IF(K264=TRUE(),E264,0)</f>
        <v>0</v>
      </c>
      <c r="J264" t="b" s="4">
        <v>1</v>
      </c>
      <c r="K264" t="b" s="4">
        <v>0</v>
      </c>
    </row>
    <row r="265" ht="17" customHeight="1">
      <c r="A265" s="4">
        <v>222</v>
      </c>
      <c r="B265" s="5">
        <v>40787</v>
      </c>
      <c r="C265" t="s" s="3">
        <v>56</v>
      </c>
      <c r="D265" t="s" s="3">
        <v>180</v>
      </c>
      <c r="E265" s="6">
        <v>125000</v>
      </c>
      <c r="F265" s="6">
        <f>E265*0.19</f>
        <v>23750</v>
      </c>
      <c r="G265" s="6">
        <f>E265+F265</f>
        <v>148750</v>
      </c>
      <c r="H265" s="7">
        <f>IF(J265=TRUE(),E265,0)</f>
        <v>125000</v>
      </c>
      <c r="I265" s="7">
        <f>IF(K265=TRUE(),E265,0)</f>
        <v>0</v>
      </c>
      <c r="J265" t="b" s="4">
        <v>1</v>
      </c>
      <c r="K265" t="b" s="4">
        <v>0</v>
      </c>
    </row>
    <row r="266" ht="17" customHeight="1">
      <c r="A266" s="4">
        <v>223</v>
      </c>
      <c r="B266" s="5">
        <v>40787</v>
      </c>
      <c r="C266" t="s" s="3">
        <v>42</v>
      </c>
      <c r="D266" t="s" s="3">
        <v>180</v>
      </c>
      <c r="E266" s="6">
        <v>157500</v>
      </c>
      <c r="F266" s="6">
        <f>E266*0.19</f>
        <v>29925</v>
      </c>
      <c r="G266" s="6">
        <f>E266+F266</f>
        <v>187425</v>
      </c>
      <c r="H266" s="7">
        <f>IF(J266=TRUE(),E266,0)</f>
        <v>157500</v>
      </c>
      <c r="I266" s="7">
        <f>IF(K266=TRUE(),E266,0)</f>
        <v>0</v>
      </c>
      <c r="J266" t="b" s="4">
        <v>1</v>
      </c>
      <c r="K266" t="b" s="4">
        <v>0</v>
      </c>
    </row>
    <row r="267" ht="17" customHeight="1">
      <c r="A267" s="4">
        <v>224</v>
      </c>
      <c r="B267" s="5">
        <v>40787</v>
      </c>
      <c r="C267" t="s" s="3">
        <v>60</v>
      </c>
      <c r="D267" t="s" s="3">
        <v>180</v>
      </c>
      <c r="E267" s="6">
        <v>30625</v>
      </c>
      <c r="F267" s="6">
        <f>E267*0.19</f>
        <v>5818.75</v>
      </c>
      <c r="G267" s="6">
        <f>E267+F267</f>
        <v>36443.75</v>
      </c>
      <c r="H267" s="7">
        <f>IF(J267=TRUE(),E267,0)</f>
        <v>30625</v>
      </c>
      <c r="I267" s="7">
        <f>IF(K267=TRUE(),E267,0)</f>
        <v>0</v>
      </c>
      <c r="J267" t="b" s="4">
        <v>1</v>
      </c>
      <c r="K267" t="b" s="4">
        <v>0</v>
      </c>
    </row>
    <row r="268" ht="17" customHeight="1">
      <c r="A268" s="4">
        <v>225</v>
      </c>
      <c r="B268" s="5">
        <v>40787</v>
      </c>
      <c r="C268" t="s" s="3">
        <v>34</v>
      </c>
      <c r="D268" t="s" s="3">
        <v>180</v>
      </c>
      <c r="E268" s="6">
        <v>25500</v>
      </c>
      <c r="F268" s="6">
        <f>E268*0.19</f>
        <v>4845</v>
      </c>
      <c r="G268" s="6">
        <f>E268+F268</f>
        <v>30345</v>
      </c>
      <c r="H268" s="7">
        <f>IF(J268=TRUE(),E268,0)</f>
        <v>25500</v>
      </c>
      <c r="I268" s="7">
        <f>IF(K268=TRUE(),E268,0)</f>
        <v>0</v>
      </c>
      <c r="J268" t="b" s="4">
        <v>1</v>
      </c>
      <c r="K268" t="b" s="4">
        <v>0</v>
      </c>
    </row>
    <row r="269" ht="17" customHeight="1">
      <c r="A269" s="4">
        <v>226</v>
      </c>
      <c r="B269" s="5">
        <v>40787</v>
      </c>
      <c r="C269" t="s" s="3">
        <v>40</v>
      </c>
      <c r="D269" t="s" s="3">
        <v>180</v>
      </c>
      <c r="E269" s="6">
        <v>158000</v>
      </c>
      <c r="F269" s="6">
        <f>E269*0.19</f>
        <v>30020</v>
      </c>
      <c r="G269" s="6">
        <f>E269+F269</f>
        <v>188020</v>
      </c>
      <c r="H269" s="7">
        <f>IF(J269=TRUE(),E269,0)</f>
        <v>158000</v>
      </c>
      <c r="I269" s="7">
        <f>IF(K269=TRUE(),E269,0)</f>
        <v>0</v>
      </c>
      <c r="J269" t="b" s="4">
        <v>1</v>
      </c>
      <c r="K269" t="b" s="4">
        <v>0</v>
      </c>
    </row>
    <row r="270" ht="17" customHeight="1">
      <c r="A270" s="4">
        <v>227</v>
      </c>
      <c r="B270" s="5">
        <v>40787</v>
      </c>
      <c r="C270" t="s" s="3">
        <v>66</v>
      </c>
      <c r="D270" t="s" s="3">
        <v>180</v>
      </c>
      <c r="E270" s="6">
        <v>105750</v>
      </c>
      <c r="F270" s="6">
        <f>E270*0.19</f>
        <v>20092.5</v>
      </c>
      <c r="G270" s="6">
        <f>E270+F270</f>
        <v>125842.5</v>
      </c>
      <c r="H270" s="7">
        <f>IF(J270=TRUE(),E270,0)</f>
        <v>105750</v>
      </c>
      <c r="I270" s="7">
        <f>IF(K270=TRUE(),E270,0)</f>
        <v>0</v>
      </c>
      <c r="J270" t="b" s="4">
        <v>1</v>
      </c>
      <c r="K270" t="b" s="4">
        <v>0</v>
      </c>
    </row>
    <row r="271" ht="17" customHeight="1">
      <c r="A271" s="4">
        <v>228</v>
      </c>
      <c r="B271" s="5">
        <v>40789</v>
      </c>
      <c r="C271" t="s" s="3">
        <v>42</v>
      </c>
      <c r="D271" t="s" s="3">
        <v>182</v>
      </c>
      <c r="E271" s="6">
        <v>521600</v>
      </c>
      <c r="F271" s="6">
        <f>E271*0.19</f>
        <v>99104</v>
      </c>
      <c r="G271" s="6">
        <f>E271+F271</f>
        <v>620704</v>
      </c>
      <c r="H271" s="7">
        <f>IF(J271=TRUE(),E271,0)</f>
        <v>0</v>
      </c>
      <c r="I271" s="7">
        <f>IF(K271=TRUE(),E271,0)</f>
        <v>0</v>
      </c>
      <c r="J271" t="b" s="4">
        <v>0</v>
      </c>
      <c r="K271" t="b" s="4">
        <v>0</v>
      </c>
    </row>
    <row r="272" ht="17" customHeight="1">
      <c r="A272" s="4">
        <v>229</v>
      </c>
      <c r="B272" s="5">
        <v>40791</v>
      </c>
      <c r="C272" t="s" s="3">
        <v>183</v>
      </c>
      <c r="D272" t="s" s="3">
        <v>184</v>
      </c>
      <c r="E272" s="6">
        <v>232650</v>
      </c>
      <c r="F272" s="6">
        <f>E272*0.19</f>
        <v>44203.5</v>
      </c>
      <c r="G272" s="6">
        <f>E272+F272</f>
        <v>276853.5</v>
      </c>
      <c r="H272" s="7">
        <f>IF(J272=TRUE(),E272,0)</f>
        <v>0</v>
      </c>
      <c r="I272" s="7">
        <f>IF(K272=TRUE(),E272,0)</f>
        <v>0</v>
      </c>
      <c r="J272" t="b" s="4">
        <v>0</v>
      </c>
      <c r="K272" t="b" s="4">
        <v>0</v>
      </c>
    </row>
    <row r="273" ht="17" customHeight="1">
      <c r="A273" s="4">
        <v>230</v>
      </c>
      <c r="B273" s="5">
        <v>40798</v>
      </c>
      <c r="C273" t="s" s="3">
        <v>29</v>
      </c>
      <c r="D273" t="s" s="3">
        <v>185</v>
      </c>
      <c r="E273" s="6">
        <v>325000</v>
      </c>
      <c r="F273" s="6">
        <f>E273*0.19</f>
        <v>61750</v>
      </c>
      <c r="G273" s="6">
        <f>E273+F273</f>
        <v>386750</v>
      </c>
      <c r="H273" s="7">
        <f>IF(J273=TRUE(),E273,0)</f>
        <v>0</v>
      </c>
      <c r="I273" s="7">
        <f>IF(K273=TRUE(),E273,0)</f>
        <v>0</v>
      </c>
      <c r="J273" t="b" s="4">
        <v>0</v>
      </c>
      <c r="K273" t="b" s="4">
        <v>0</v>
      </c>
    </row>
    <row r="274" ht="17" customHeight="1">
      <c r="A274" s="4">
        <v>231</v>
      </c>
      <c r="B274" s="5">
        <v>40798</v>
      </c>
      <c r="C274" t="s" s="3">
        <v>120</v>
      </c>
      <c r="D274" t="s" s="3">
        <v>180</v>
      </c>
      <c r="E274" s="6">
        <v>285792</v>
      </c>
      <c r="F274" s="6">
        <f>E274*0.19</f>
        <v>54300.48</v>
      </c>
      <c r="G274" s="6">
        <f>E274+F274</f>
        <v>340092.48</v>
      </c>
      <c r="H274" s="7">
        <f>IF(J274=TRUE(),E274,0)</f>
        <v>285792</v>
      </c>
      <c r="I274" s="7">
        <f>IF(K274=TRUE(),E274,0)</f>
        <v>0</v>
      </c>
      <c r="J274" t="b" s="4">
        <v>1</v>
      </c>
      <c r="K274" t="b" s="4">
        <v>0</v>
      </c>
    </row>
    <row r="275" ht="17" customHeight="1">
      <c r="A275" s="4">
        <v>232</v>
      </c>
      <c r="B275" s="5">
        <v>40787</v>
      </c>
      <c r="C275" t="s" s="3">
        <v>130</v>
      </c>
      <c r="D275" t="s" s="3">
        <v>180</v>
      </c>
      <c r="E275" s="6">
        <v>323917</v>
      </c>
      <c r="F275" s="6">
        <f>E275*0.19</f>
        <v>61544.23</v>
      </c>
      <c r="G275" s="6">
        <f>E275+F275</f>
        <v>385461.23</v>
      </c>
      <c r="H275" s="7">
        <f>IF(J275=TRUE(),E275,0)</f>
        <v>323917</v>
      </c>
      <c r="I275" s="7">
        <f>IF(K275=TRUE(),E275,0)</f>
        <v>0</v>
      </c>
      <c r="J275" t="b" s="4">
        <v>1</v>
      </c>
      <c r="K275" t="b" s="4">
        <v>0</v>
      </c>
    </row>
    <row r="276" ht="17" customHeight="1">
      <c r="A276" s="4">
        <v>233</v>
      </c>
      <c r="B276" s="5">
        <v>40787</v>
      </c>
      <c r="C276" t="s" s="3">
        <v>127</v>
      </c>
      <c r="D276" t="s" s="3">
        <v>180</v>
      </c>
      <c r="E276" s="6">
        <v>257292</v>
      </c>
      <c r="F276" s="6">
        <f>E276*0.19</f>
        <v>48885.48</v>
      </c>
      <c r="G276" s="6">
        <f>E276+F276</f>
        <v>306177.48</v>
      </c>
      <c r="H276" s="7">
        <f>IF(J276=TRUE(),E276,0)</f>
        <v>257292</v>
      </c>
      <c r="I276" s="7">
        <f>IF(K276=TRUE(),E276,0)</f>
        <v>0</v>
      </c>
      <c r="J276" t="b" s="4">
        <v>1</v>
      </c>
      <c r="K276" t="b" s="4">
        <v>0</v>
      </c>
    </row>
    <row r="277" ht="17" customHeight="1">
      <c r="A277" s="4">
        <v>234</v>
      </c>
      <c r="B277" s="5">
        <v>40798</v>
      </c>
      <c r="C277" t="s" s="3">
        <v>66</v>
      </c>
      <c r="D277" t="s" s="3">
        <v>186</v>
      </c>
      <c r="E277" s="6">
        <v>470000</v>
      </c>
      <c r="F277" s="6">
        <f>E277*0.19</f>
        <v>89300</v>
      </c>
      <c r="G277" s="6">
        <f>E277+F277</f>
        <v>559300</v>
      </c>
      <c r="H277" s="7">
        <f>IF(J277=TRUE(),E277,0)</f>
        <v>0</v>
      </c>
      <c r="I277" s="7">
        <f>IF(K277=TRUE(),E277,0)</f>
        <v>0</v>
      </c>
      <c r="J277" t="b" s="4">
        <v>0</v>
      </c>
      <c r="K277" t="b" s="4">
        <v>0</v>
      </c>
    </row>
    <row r="278" ht="17" customHeight="1">
      <c r="A278" s="4">
        <v>235</v>
      </c>
      <c r="B278" s="5">
        <v>40798</v>
      </c>
      <c r="C278" t="s" s="3">
        <v>33</v>
      </c>
      <c r="D278" t="s" s="3">
        <v>187</v>
      </c>
      <c r="E278" s="6">
        <v>150000</v>
      </c>
      <c r="F278" s="6">
        <f>E278*0.19</f>
        <v>28500</v>
      </c>
      <c r="G278" s="6">
        <f>E278+F278</f>
        <v>178500</v>
      </c>
      <c r="H278" s="7">
        <f>IF(J278=TRUE(),E278,0)</f>
        <v>0</v>
      </c>
      <c r="I278" s="7">
        <f>IF(K278=TRUE(),E278,0)</f>
        <v>0</v>
      </c>
      <c r="J278" t="b" s="4">
        <v>0</v>
      </c>
      <c r="K278" t="b" s="4">
        <v>0</v>
      </c>
    </row>
    <row r="279" ht="17" customHeight="1">
      <c r="A279" s="4">
        <v>236</v>
      </c>
      <c r="B279" s="5">
        <v>40798</v>
      </c>
      <c r="C279" t="s" s="3">
        <v>130</v>
      </c>
      <c r="D279" t="s" s="3">
        <v>188</v>
      </c>
      <c r="E279" s="6">
        <v>375000</v>
      </c>
      <c r="F279" s="6">
        <f>E279*0.19</f>
        <v>71250</v>
      </c>
      <c r="G279" s="6">
        <f>E279+F279</f>
        <v>446250</v>
      </c>
      <c r="H279" s="7">
        <f>IF(J279=TRUE(),E279,0)</f>
        <v>0</v>
      </c>
      <c r="I279" s="7">
        <f>IF(K279=TRUE(),E279,0)</f>
        <v>0</v>
      </c>
      <c r="J279" t="b" s="4">
        <v>0</v>
      </c>
      <c r="K279" t="b" s="4">
        <v>0</v>
      </c>
    </row>
    <row r="280" ht="17" customHeight="1">
      <c r="A280" s="4">
        <v>237</v>
      </c>
      <c r="B280" s="5">
        <v>40800</v>
      </c>
      <c r="C280" t="s" s="3">
        <v>189</v>
      </c>
      <c r="D280" t="s" s="3">
        <v>190</v>
      </c>
      <c r="E280" s="6">
        <v>216350</v>
      </c>
      <c r="F280" s="6">
        <f>E280*0.19</f>
        <v>41106.5</v>
      </c>
      <c r="G280" s="6">
        <f>E280+F280</f>
        <v>257456.5</v>
      </c>
      <c r="H280" s="7">
        <f>IF(J280=TRUE(),E280,0)</f>
        <v>0</v>
      </c>
      <c r="I280" s="7">
        <f>IF(K280=TRUE(),E280,0)</f>
        <v>0</v>
      </c>
      <c r="J280" t="b" s="4">
        <v>0</v>
      </c>
      <c r="K280" t="b" s="4">
        <v>0</v>
      </c>
    </row>
    <row r="281" ht="17" customHeight="1">
      <c r="A281" s="4">
        <v>238</v>
      </c>
      <c r="B281" s="5">
        <v>40800</v>
      </c>
      <c r="C281" t="s" s="3">
        <v>66</v>
      </c>
      <c r="D281" t="s" s="3">
        <v>191</v>
      </c>
      <c r="E281" s="6">
        <v>365000</v>
      </c>
      <c r="F281" s="6">
        <f>E281*0.19</f>
        <v>69350</v>
      </c>
      <c r="G281" s="6">
        <f>E281+F281</f>
        <v>434350</v>
      </c>
      <c r="H281" s="7">
        <f>IF(J281=TRUE(),E281,0)</f>
        <v>0</v>
      </c>
      <c r="I281" s="7">
        <f>IF(K281=TRUE(),E281,0)</f>
        <v>0</v>
      </c>
      <c r="J281" t="b" s="4">
        <v>0</v>
      </c>
      <c r="K281" t="b" s="4">
        <v>0</v>
      </c>
    </row>
    <row r="282" ht="17" customHeight="1">
      <c r="A282" s="4">
        <v>239</v>
      </c>
      <c r="B282" s="5">
        <v>40806</v>
      </c>
      <c r="C282" t="s" s="3">
        <v>183</v>
      </c>
      <c r="D282" t="s" s="3">
        <v>192</v>
      </c>
      <c r="E282" s="6">
        <v>455000</v>
      </c>
      <c r="F282" s="6">
        <f>E282*0.19</f>
        <v>86450</v>
      </c>
      <c r="G282" s="6">
        <f>E282+F282</f>
        <v>541450</v>
      </c>
      <c r="H282" s="7">
        <f>IF(J282=TRUE(),E282,0)</f>
        <v>0</v>
      </c>
      <c r="I282" s="7">
        <f>IF(K282=TRUE(),E282,0)</f>
        <v>0</v>
      </c>
      <c r="J282" t="b" s="4">
        <v>0</v>
      </c>
      <c r="K282" t="b" s="4">
        <v>0</v>
      </c>
    </row>
    <row r="283" ht="17" customHeight="1">
      <c r="A283" s="4">
        <v>240</v>
      </c>
      <c r="B283" s="5">
        <v>40801</v>
      </c>
      <c r="C283" t="s" s="3">
        <v>92</v>
      </c>
      <c r="D283" t="s" s="3">
        <v>193</v>
      </c>
      <c r="E283" s="6">
        <v>140000</v>
      </c>
      <c r="F283" s="6">
        <f>E283*0.19</f>
        <v>26600</v>
      </c>
      <c r="G283" s="6">
        <f>E283+F283</f>
        <v>166600</v>
      </c>
      <c r="H283" s="7">
        <f>IF(J283=TRUE(),E283,0)</f>
        <v>0</v>
      </c>
      <c r="I283" s="7">
        <f>IF(K283=TRUE(),E283,0)</f>
        <v>0</v>
      </c>
      <c r="J283" t="b" s="4">
        <v>0</v>
      </c>
      <c r="K283" t="b" s="4">
        <v>0</v>
      </c>
    </row>
    <row r="284" ht="17" customHeight="1">
      <c r="A284" s="4">
        <v>241</v>
      </c>
      <c r="B284" s="5">
        <v>40814</v>
      </c>
      <c r="C284" t="s" s="3">
        <v>98</v>
      </c>
      <c r="D284" t="s" s="3">
        <v>180</v>
      </c>
      <c r="E284" s="6">
        <v>266520</v>
      </c>
      <c r="F284" s="6">
        <f>E284*0.19</f>
        <v>50638.8</v>
      </c>
      <c r="G284" s="6">
        <f>E284+F284</f>
        <v>317158.8</v>
      </c>
      <c r="H284" s="7">
        <f>IF(J284=TRUE(),E284,0)</f>
        <v>266520</v>
      </c>
      <c r="I284" s="7">
        <f>IF(K284=TRUE(),E284,0)</f>
        <v>0</v>
      </c>
      <c r="J284" t="b" s="4">
        <v>1</v>
      </c>
      <c r="K284" t="b" s="4">
        <v>0</v>
      </c>
    </row>
    <row r="285" ht="17.5" customHeight="1">
      <c r="A285" s="9">
        <v>242</v>
      </c>
      <c r="B285" s="5">
        <v>40814</v>
      </c>
      <c r="C285" t="s" s="10">
        <v>92</v>
      </c>
      <c r="D285" t="s" s="10">
        <v>180</v>
      </c>
      <c r="E285" s="11">
        <v>641079</v>
      </c>
      <c r="F285" s="11">
        <f>E285*0.19</f>
        <v>121805.01</v>
      </c>
      <c r="G285" s="11">
        <f>E285+F285</f>
        <v>762884.01</v>
      </c>
      <c r="H285" s="12">
        <f>IF(J285=TRUE(),E285,0)</f>
        <v>641079</v>
      </c>
      <c r="I285" s="12">
        <f>IF(K285=TRUE(),E285,0)</f>
        <v>0</v>
      </c>
      <c r="J285" t="b" s="9">
        <v>1</v>
      </c>
      <c r="K285" t="b" s="9">
        <v>0</v>
      </c>
    </row>
    <row r="286" ht="18" customHeight="1">
      <c r="A286" s="13">
        <v>25</v>
      </c>
      <c r="B286" t="s" s="3">
        <v>194</v>
      </c>
      <c r="C286" t="s" s="14">
        <v>7</v>
      </c>
      <c r="D286" s="14"/>
      <c r="E286" s="15">
        <f>SUM(E261:E285)</f>
        <v>5709193</v>
      </c>
      <c r="F286" s="15">
        <f>SUM(F261:F285)</f>
        <v>1084746.67</v>
      </c>
      <c r="G286" s="16">
        <f>SUM(G261:G285)</f>
        <v>6793939.669999999</v>
      </c>
      <c r="H286" s="17">
        <f>SUM(H261:H285)</f>
        <v>2458593</v>
      </c>
      <c r="I286" s="17"/>
      <c r="J286" s="18">
        <f>COUNTIF(J261:J285,TRUE())</f>
        <v>15</v>
      </c>
      <c r="K286" s="19"/>
    </row>
    <row r="287" ht="17.5" customHeight="1">
      <c r="A287" s="20"/>
      <c r="B287" s="5"/>
      <c r="C287" s="20"/>
      <c r="D287" s="21"/>
      <c r="E287" s="20"/>
      <c r="F287" s="20"/>
      <c r="G287" s="20"/>
      <c r="H287" s="22"/>
      <c r="I287" s="22"/>
      <c r="J287" s="20"/>
      <c r="K287" s="20"/>
    </row>
    <row r="288" ht="17" customHeight="1">
      <c r="A288" t="s" s="3">
        <v>1</v>
      </c>
      <c r="B288" t="s" s="3">
        <v>2</v>
      </c>
      <c r="C288" t="s" s="3">
        <v>3</v>
      </c>
      <c r="D288" t="s" s="3">
        <v>4</v>
      </c>
      <c r="E288" t="s" s="3">
        <v>5</v>
      </c>
      <c r="F288" t="s" s="3">
        <v>6</v>
      </c>
      <c r="G288" t="s" s="3">
        <v>7</v>
      </c>
      <c r="H288" s="7"/>
      <c r="I288" s="7"/>
      <c r="J288" s="8"/>
      <c r="K288" s="8"/>
    </row>
    <row r="289" ht="17" customHeight="1">
      <c r="A289" s="4">
        <v>243</v>
      </c>
      <c r="B289" s="5">
        <v>40819</v>
      </c>
      <c r="C289" t="s" s="3">
        <v>195</v>
      </c>
      <c r="D289" t="s" s="3">
        <v>196</v>
      </c>
      <c r="E289" s="6">
        <v>648980</v>
      </c>
      <c r="F289" s="6">
        <f>E289*0.19</f>
        <v>123306.2</v>
      </c>
      <c r="G289" s="6">
        <f>E289+F289</f>
        <v>772286.2</v>
      </c>
      <c r="H289" s="7">
        <f>IF(J289=TRUE(),E289,0)</f>
        <v>0</v>
      </c>
      <c r="I289" s="7">
        <f>IF(K289=TRUE(),E289,0)</f>
        <v>0</v>
      </c>
      <c r="J289" t="b" s="4">
        <v>0</v>
      </c>
      <c r="K289" t="b" s="4">
        <v>0</v>
      </c>
    </row>
    <row r="290" ht="17" customHeight="1">
      <c r="A290" s="4">
        <v>244</v>
      </c>
      <c r="B290" s="5">
        <v>40819</v>
      </c>
      <c r="C290" t="s" s="3">
        <v>33</v>
      </c>
      <c r="D290" t="s" s="3">
        <v>180</v>
      </c>
      <c r="E290" s="6">
        <v>79261</v>
      </c>
      <c r="F290" s="6">
        <f>E290*0.19</f>
        <v>15059.59</v>
      </c>
      <c r="G290" s="6">
        <f>E290+F290</f>
        <v>94320.59</v>
      </c>
      <c r="H290" s="7">
        <f>IF(J290=TRUE(),E290,0)</f>
        <v>79261</v>
      </c>
      <c r="I290" s="7">
        <f>IF(K290=TRUE(),E290,0)</f>
        <v>0</v>
      </c>
      <c r="J290" t="b" s="4">
        <v>1</v>
      </c>
      <c r="K290" t="b" s="4">
        <v>0</v>
      </c>
    </row>
    <row r="291" ht="17" customHeight="1">
      <c r="A291" s="4">
        <v>245</v>
      </c>
      <c r="B291" s="5">
        <v>40819</v>
      </c>
      <c r="C291" t="s" s="3">
        <v>22</v>
      </c>
      <c r="D291" t="s" s="3">
        <v>197</v>
      </c>
      <c r="E291" s="6">
        <v>149100</v>
      </c>
      <c r="F291" s="6">
        <f>E291*0.19</f>
        <v>28329</v>
      </c>
      <c r="G291" s="6">
        <f>E291+F291</f>
        <v>177429</v>
      </c>
      <c r="H291" s="7">
        <f>IF(J291=TRUE(),E291,0)</f>
        <v>149100</v>
      </c>
      <c r="I291" s="7">
        <f>IF(K291=TRUE(),E291,0)</f>
        <v>0</v>
      </c>
      <c r="J291" t="b" s="4">
        <v>1</v>
      </c>
      <c r="K291" t="b" s="4">
        <v>0</v>
      </c>
    </row>
    <row r="292" ht="17" customHeight="1">
      <c r="A292" s="4">
        <v>246</v>
      </c>
      <c r="B292" s="5">
        <v>40819</v>
      </c>
      <c r="C292" t="s" s="3">
        <v>56</v>
      </c>
      <c r="D292" t="s" s="3">
        <v>197</v>
      </c>
      <c r="E292" s="6">
        <v>125000</v>
      </c>
      <c r="F292" s="6">
        <f>E292*0.19</f>
        <v>23750</v>
      </c>
      <c r="G292" s="6">
        <f>E292+F292</f>
        <v>148750</v>
      </c>
      <c r="H292" s="7">
        <f>IF(J292=TRUE(),E292,0)</f>
        <v>125000</v>
      </c>
      <c r="I292" s="7">
        <f>IF(K292=TRUE(),E292,0)</f>
        <v>0</v>
      </c>
      <c r="J292" t="b" s="4">
        <v>1</v>
      </c>
      <c r="K292" t="b" s="4">
        <v>0</v>
      </c>
    </row>
    <row r="293" ht="17" customHeight="1">
      <c r="A293" s="4">
        <v>247</v>
      </c>
      <c r="B293" s="5">
        <v>40819</v>
      </c>
      <c r="C293" t="s" s="3">
        <v>42</v>
      </c>
      <c r="D293" t="s" s="3">
        <v>197</v>
      </c>
      <c r="E293" s="6">
        <v>157500</v>
      </c>
      <c r="F293" s="6">
        <f>E293*0.19</f>
        <v>29925</v>
      </c>
      <c r="G293" s="6">
        <f>E293+F293</f>
        <v>187425</v>
      </c>
      <c r="H293" s="7">
        <f>IF(J293=TRUE(),E293,0)</f>
        <v>157500</v>
      </c>
      <c r="I293" s="7">
        <f>IF(K293=TRUE(),E293,0)</f>
        <v>0</v>
      </c>
      <c r="J293" t="b" s="4">
        <v>1</v>
      </c>
      <c r="K293" t="b" s="4">
        <v>0</v>
      </c>
    </row>
    <row r="294" ht="17" customHeight="1">
      <c r="A294" s="4">
        <v>248</v>
      </c>
      <c r="B294" s="5">
        <v>40819</v>
      </c>
      <c r="C294" t="s" s="3">
        <v>60</v>
      </c>
      <c r="D294" t="s" s="3">
        <v>197</v>
      </c>
      <c r="E294" s="6">
        <v>30625</v>
      </c>
      <c r="F294" s="6">
        <f>E294*0.19</f>
        <v>5818.75</v>
      </c>
      <c r="G294" s="6">
        <f>E294+F294</f>
        <v>36443.75</v>
      </c>
      <c r="H294" s="7">
        <f>IF(J294=TRUE(),E294,0)</f>
        <v>30625</v>
      </c>
      <c r="I294" s="7">
        <f>IF(K294=TRUE(),E294,0)</f>
        <v>0</v>
      </c>
      <c r="J294" t="b" s="4">
        <v>1</v>
      </c>
      <c r="K294" t="b" s="4">
        <v>0</v>
      </c>
    </row>
    <row r="295" ht="17" customHeight="1">
      <c r="A295" s="4">
        <v>249</v>
      </c>
      <c r="B295" s="5">
        <v>40819</v>
      </c>
      <c r="C295" t="s" s="3">
        <v>34</v>
      </c>
      <c r="D295" t="s" s="3">
        <v>197</v>
      </c>
      <c r="E295" s="6">
        <v>25500</v>
      </c>
      <c r="F295" s="6">
        <f>E295*0.19</f>
        <v>4845</v>
      </c>
      <c r="G295" s="6">
        <f>E295+F295</f>
        <v>30345</v>
      </c>
      <c r="H295" s="7">
        <f>IF(J295=TRUE(),E295,0)</f>
        <v>25500</v>
      </c>
      <c r="I295" s="7">
        <f>IF(K295=TRUE(),E295,0)</f>
        <v>0</v>
      </c>
      <c r="J295" t="b" s="4">
        <v>1</v>
      </c>
      <c r="K295" t="b" s="4">
        <v>0</v>
      </c>
    </row>
    <row r="296" ht="17" customHeight="1">
      <c r="A296" s="4">
        <v>250</v>
      </c>
      <c r="B296" s="5">
        <v>40819</v>
      </c>
      <c r="C296" t="s" s="3">
        <v>40</v>
      </c>
      <c r="D296" t="s" s="3">
        <v>197</v>
      </c>
      <c r="E296" s="6">
        <v>158000</v>
      </c>
      <c r="F296" s="6">
        <f>E296*0.19</f>
        <v>30020</v>
      </c>
      <c r="G296" s="6">
        <f>E296+F296</f>
        <v>188020</v>
      </c>
      <c r="H296" s="7">
        <f>IF(J296=TRUE(),E296,0)</f>
        <v>158000</v>
      </c>
      <c r="I296" s="7">
        <f>IF(K296=TRUE(),E296,0)</f>
        <v>0</v>
      </c>
      <c r="J296" t="b" s="4">
        <v>1</v>
      </c>
      <c r="K296" t="b" s="4">
        <v>0</v>
      </c>
    </row>
    <row r="297" ht="17" customHeight="1">
      <c r="A297" s="4">
        <v>251</v>
      </c>
      <c r="B297" s="5">
        <v>40819</v>
      </c>
      <c r="C297" t="s" s="3">
        <v>66</v>
      </c>
      <c r="D297" t="s" s="3">
        <v>197</v>
      </c>
      <c r="E297" s="6">
        <v>105750</v>
      </c>
      <c r="F297" s="6">
        <f>E297*0.19</f>
        <v>20092.5</v>
      </c>
      <c r="G297" s="6">
        <f>E297+F297</f>
        <v>125842.5</v>
      </c>
      <c r="H297" s="7">
        <f>IF(J297=TRUE(),E297,0)</f>
        <v>105750</v>
      </c>
      <c r="I297" s="7">
        <f>IF(K297=TRUE(),E297,0)</f>
        <v>0</v>
      </c>
      <c r="J297" t="b" s="4">
        <v>1</v>
      </c>
      <c r="K297" t="b" s="4">
        <v>0</v>
      </c>
    </row>
    <row r="298" ht="17" customHeight="1">
      <c r="A298" s="4">
        <v>252</v>
      </c>
      <c r="B298" s="5">
        <v>40819</v>
      </c>
      <c r="C298" t="s" s="3">
        <v>120</v>
      </c>
      <c r="D298" t="s" s="3">
        <v>197</v>
      </c>
      <c r="E298" s="6">
        <v>285792</v>
      </c>
      <c r="F298" s="6">
        <f>E298*0.19</f>
        <v>54300.48</v>
      </c>
      <c r="G298" s="6">
        <f>E298+F298</f>
        <v>340092.48</v>
      </c>
      <c r="H298" s="7">
        <f>IF(J298=TRUE(),E298,0)</f>
        <v>285792</v>
      </c>
      <c r="I298" s="7">
        <f>IF(K298=TRUE(),E298,0)</f>
        <v>0</v>
      </c>
      <c r="J298" t="b" s="4">
        <v>1</v>
      </c>
      <c r="K298" t="b" s="4">
        <v>0</v>
      </c>
    </row>
    <row r="299" ht="17" customHeight="1">
      <c r="A299" s="4">
        <v>253</v>
      </c>
      <c r="B299" s="5">
        <v>40819</v>
      </c>
      <c r="C299" t="s" s="3">
        <v>130</v>
      </c>
      <c r="D299" t="s" s="3">
        <v>197</v>
      </c>
      <c r="E299" s="6">
        <v>323917</v>
      </c>
      <c r="F299" s="6">
        <f>E299*0.19</f>
        <v>61544.23</v>
      </c>
      <c r="G299" s="6">
        <f>E299+F299</f>
        <v>385461.23</v>
      </c>
      <c r="H299" s="7">
        <f>IF(J299=TRUE(),E299,0)</f>
        <v>323917</v>
      </c>
      <c r="I299" s="7">
        <f>IF(K299=TRUE(),E299,0)</f>
        <v>0</v>
      </c>
      <c r="J299" t="b" s="4">
        <v>1</v>
      </c>
      <c r="K299" t="b" s="4">
        <v>0</v>
      </c>
    </row>
    <row r="300" ht="17" customHeight="1">
      <c r="A300" s="4">
        <v>254</v>
      </c>
      <c r="B300" s="5">
        <v>40819</v>
      </c>
      <c r="C300" t="s" s="3">
        <v>127</v>
      </c>
      <c r="D300" t="s" s="3">
        <v>197</v>
      </c>
      <c r="E300" s="6">
        <v>257292</v>
      </c>
      <c r="F300" s="6">
        <f>E300*0.19</f>
        <v>48885.48</v>
      </c>
      <c r="G300" s="6">
        <f>E300+F300</f>
        <v>306177.48</v>
      </c>
      <c r="H300" s="7">
        <f>IF(J300=TRUE(),E300,0)</f>
        <v>257292</v>
      </c>
      <c r="I300" s="7">
        <f>IF(K300=TRUE(),E300,0)</f>
        <v>0</v>
      </c>
      <c r="J300" t="b" s="4">
        <v>1</v>
      </c>
      <c r="K300" t="b" s="4">
        <v>0</v>
      </c>
    </row>
    <row r="301" ht="17" customHeight="1">
      <c r="A301" s="4">
        <v>255</v>
      </c>
      <c r="B301" s="5">
        <v>40823</v>
      </c>
      <c r="C301" t="s" s="3">
        <v>198</v>
      </c>
      <c r="D301" t="s" s="3">
        <v>199</v>
      </c>
      <c r="E301" s="6">
        <v>228350</v>
      </c>
      <c r="F301" s="6">
        <f>E301*0.19</f>
        <v>43386.5</v>
      </c>
      <c r="G301" s="6">
        <f>E301+F301</f>
        <v>271736.5</v>
      </c>
      <c r="H301" s="7">
        <f>IF(J301=TRUE(),E301,0)</f>
        <v>0</v>
      </c>
      <c r="I301" s="7">
        <f>IF(K301=TRUE(),E301,0)</f>
        <v>0</v>
      </c>
      <c r="J301" t="b" s="4">
        <v>0</v>
      </c>
      <c r="K301" t="b" s="4">
        <v>0</v>
      </c>
    </row>
    <row r="302" ht="17" customHeight="1">
      <c r="A302" s="4">
        <v>256</v>
      </c>
      <c r="B302" s="5">
        <v>40823</v>
      </c>
      <c r="C302" t="s" s="3">
        <v>200</v>
      </c>
      <c r="D302" t="s" s="3">
        <v>201</v>
      </c>
      <c r="E302" s="6">
        <v>241850</v>
      </c>
      <c r="F302" s="6">
        <f>E302*0.19</f>
        <v>45951.5</v>
      </c>
      <c r="G302" s="6">
        <f>E302+F302</f>
        <v>287801.5</v>
      </c>
      <c r="H302" s="7">
        <f>IF(J302=TRUE(),E302,0)</f>
        <v>0</v>
      </c>
      <c r="I302" s="7">
        <f>IF(K302=TRUE(),E302,0)</f>
        <v>0</v>
      </c>
      <c r="J302" t="b" s="4">
        <v>0</v>
      </c>
      <c r="K302" t="b" s="4">
        <v>0</v>
      </c>
    </row>
    <row r="303" ht="17" customHeight="1">
      <c r="A303" s="4">
        <v>257</v>
      </c>
      <c r="B303" s="5">
        <v>40828</v>
      </c>
      <c r="C303" t="s" s="3">
        <v>29</v>
      </c>
      <c r="D303" t="s" s="3">
        <v>202</v>
      </c>
      <c r="E303" s="6">
        <v>1188000</v>
      </c>
      <c r="F303" s="6">
        <f>E303*0.19</f>
        <v>225720</v>
      </c>
      <c r="G303" s="6">
        <f>E303+F303</f>
        <v>1413720</v>
      </c>
      <c r="H303" s="7">
        <f>IF(J303=TRUE(),E303,0)</f>
        <v>0</v>
      </c>
      <c r="I303" s="7">
        <f>IF(K303=TRUE(),E303,0)</f>
        <v>0</v>
      </c>
      <c r="J303" t="b" s="4">
        <v>0</v>
      </c>
      <c r="K303" t="b" s="4">
        <v>0</v>
      </c>
    </row>
    <row r="304" ht="17" customHeight="1">
      <c r="A304" s="4">
        <v>258</v>
      </c>
      <c r="B304" s="5">
        <v>40841</v>
      </c>
      <c r="C304" t="s" s="3">
        <v>33</v>
      </c>
      <c r="D304" t="s" s="3">
        <v>197</v>
      </c>
      <c r="E304" s="6">
        <v>725194</v>
      </c>
      <c r="F304" s="6">
        <f>E304*0.19</f>
        <v>137786.86</v>
      </c>
      <c r="G304" s="6">
        <f>E304+F304</f>
        <v>862980.86</v>
      </c>
      <c r="H304" s="7">
        <f>IF(J304=TRUE(),E304,0)</f>
        <v>725194</v>
      </c>
      <c r="I304" s="7">
        <f>IF(K304=TRUE(),E304,0)</f>
        <v>0</v>
      </c>
      <c r="J304" t="b" s="4">
        <v>1</v>
      </c>
      <c r="K304" t="b" s="4">
        <v>0</v>
      </c>
    </row>
    <row r="305" ht="17" customHeight="1">
      <c r="A305" s="4">
        <v>259</v>
      </c>
      <c r="B305" s="5">
        <v>40841</v>
      </c>
      <c r="C305" t="s" s="3">
        <v>33</v>
      </c>
      <c r="D305" t="s" s="3">
        <v>203</v>
      </c>
      <c r="E305" s="6">
        <v>35000</v>
      </c>
      <c r="F305" s="6">
        <f>E305*0.19</f>
        <v>6650</v>
      </c>
      <c r="G305" s="6">
        <f>E305+F305</f>
        <v>41650</v>
      </c>
      <c r="H305" s="7">
        <f>IF(J305=TRUE(),E305,0)</f>
        <v>0</v>
      </c>
      <c r="I305" s="7">
        <f>IF(K305=TRUE(),E305,0)</f>
        <v>0</v>
      </c>
      <c r="J305" t="b" s="4">
        <v>0</v>
      </c>
      <c r="K305" t="b" s="4">
        <v>0</v>
      </c>
    </row>
    <row r="306" ht="17" customHeight="1">
      <c r="A306" s="4">
        <v>260</v>
      </c>
      <c r="B306" s="5">
        <v>40844</v>
      </c>
      <c r="C306" t="s" s="3">
        <v>92</v>
      </c>
      <c r="D306" t="s" s="3">
        <v>197</v>
      </c>
      <c r="E306" s="6">
        <v>573597</v>
      </c>
      <c r="F306" s="6">
        <f>E306*0.19</f>
        <v>108983.43</v>
      </c>
      <c r="G306" s="6">
        <f>E306+F306</f>
        <v>682580.4300000001</v>
      </c>
      <c r="H306" s="7">
        <f>IF(J306=TRUE(),E306,0)</f>
        <v>573597</v>
      </c>
      <c r="I306" s="7">
        <f>IF(K306=TRUE(),E306,0)</f>
        <v>0</v>
      </c>
      <c r="J306" t="b" s="4">
        <v>1</v>
      </c>
      <c r="K306" t="b" s="4">
        <v>0</v>
      </c>
    </row>
    <row r="307" ht="17" customHeight="1">
      <c r="A307" s="4">
        <v>261</v>
      </c>
      <c r="B307" s="5">
        <v>40844</v>
      </c>
      <c r="C307" t="s" s="3">
        <v>98</v>
      </c>
      <c r="D307" t="s" s="3">
        <v>197</v>
      </c>
      <c r="E307" s="6">
        <v>266520</v>
      </c>
      <c r="F307" s="6">
        <f>E307*0.19</f>
        <v>50638.8</v>
      </c>
      <c r="G307" s="6">
        <f>E307+F307</f>
        <v>317158.8</v>
      </c>
      <c r="H307" s="7">
        <f>IF(J307=TRUE(),E307,0)</f>
        <v>266520</v>
      </c>
      <c r="I307" s="7">
        <f>IF(K307=TRUE(),E307,0)</f>
        <v>0</v>
      </c>
      <c r="J307" t="b" s="4">
        <v>1</v>
      </c>
      <c r="K307" t="b" s="4">
        <v>0</v>
      </c>
    </row>
    <row r="308" ht="17" customHeight="1">
      <c r="A308" s="4">
        <v>262</v>
      </c>
      <c r="B308" s="5">
        <v>40844</v>
      </c>
      <c r="C308" t="s" s="3">
        <v>33</v>
      </c>
      <c r="D308" t="s" s="3">
        <v>204</v>
      </c>
      <c r="E308" s="6">
        <v>60000</v>
      </c>
      <c r="F308" s="6">
        <f>E308*0.19</f>
        <v>11400</v>
      </c>
      <c r="G308" s="6">
        <f>E308+F308</f>
        <v>71400</v>
      </c>
      <c r="H308" s="7">
        <f>IF(J308=TRUE(),E308,0)</f>
        <v>0</v>
      </c>
      <c r="I308" s="7">
        <f>IF(K308=TRUE(),E308,0)</f>
        <v>0</v>
      </c>
      <c r="J308" t="b" s="4">
        <v>0</v>
      </c>
      <c r="K308" t="b" s="4">
        <v>0</v>
      </c>
    </row>
    <row r="309" ht="17" customHeight="1">
      <c r="A309" s="4">
        <v>263</v>
      </c>
      <c r="B309" s="5">
        <v>40844</v>
      </c>
      <c r="C309" t="s" s="3">
        <v>66</v>
      </c>
      <c r="D309" t="s" s="3">
        <v>205</v>
      </c>
      <c r="E309" s="6">
        <v>185000</v>
      </c>
      <c r="F309" s="6">
        <f>E309*0.19</f>
        <v>35150</v>
      </c>
      <c r="G309" s="6">
        <f>E309+F309</f>
        <v>220150</v>
      </c>
      <c r="H309" s="7">
        <f>IF(J309=TRUE(),E309,0)</f>
        <v>0</v>
      </c>
      <c r="I309" s="7">
        <f>IF(K309=TRUE(),E309,0)</f>
        <v>0</v>
      </c>
      <c r="J309" t="b" s="4">
        <v>0</v>
      </c>
      <c r="K309" t="b" s="4">
        <v>0</v>
      </c>
    </row>
    <row r="310" ht="17" customHeight="1">
      <c r="A310" s="4">
        <v>274</v>
      </c>
      <c r="B310" s="5">
        <v>40844</v>
      </c>
      <c r="C310" t="s" s="3">
        <v>92</v>
      </c>
      <c r="D310" t="s" s="3">
        <v>197</v>
      </c>
      <c r="E310" s="6">
        <v>506115</v>
      </c>
      <c r="F310" s="6">
        <f>E310*0.19</f>
        <v>96161.850000000006</v>
      </c>
      <c r="G310" s="6">
        <f>E310+F310</f>
        <v>602276.85</v>
      </c>
      <c r="H310" s="7">
        <f>IF(J310=TRUE(),E310,0)</f>
        <v>506115</v>
      </c>
      <c r="I310" s="7">
        <f>IF(K310=TRUE(),E310,0)</f>
        <v>0</v>
      </c>
      <c r="J310" t="b" s="4">
        <v>1</v>
      </c>
      <c r="K310" t="b" s="4">
        <v>0</v>
      </c>
    </row>
    <row r="311" ht="17.5" customHeight="1">
      <c r="A311" s="9">
        <v>275</v>
      </c>
      <c r="B311" s="5">
        <v>40844</v>
      </c>
      <c r="C311" t="s" s="10">
        <v>98</v>
      </c>
      <c r="D311" t="s" s="10">
        <v>197</v>
      </c>
      <c r="E311" s="11">
        <v>335160</v>
      </c>
      <c r="F311" s="11">
        <f>E311*0.19</f>
        <v>63680.4</v>
      </c>
      <c r="G311" s="11">
        <f>E311+F311</f>
        <v>398840.4</v>
      </c>
      <c r="H311" s="12">
        <f>IF(J311=TRUE(),E311,0)</f>
        <v>335160</v>
      </c>
      <c r="I311" s="12">
        <f>IF(K311=TRUE(),E311,0)</f>
        <v>0</v>
      </c>
      <c r="J311" t="b" s="9">
        <v>1</v>
      </c>
      <c r="K311" t="b" s="9">
        <v>0</v>
      </c>
    </row>
    <row r="312" ht="18" customHeight="1">
      <c r="A312" s="13">
        <f>COUNT(A289:A311)</f>
        <v>23</v>
      </c>
      <c r="B312" t="s" s="3">
        <v>206</v>
      </c>
      <c r="C312" t="s" s="14">
        <v>7</v>
      </c>
      <c r="D312" s="14"/>
      <c r="E312" s="15">
        <f>SUM(E289:E311)</f>
        <v>6691503</v>
      </c>
      <c r="F312" s="15">
        <f>SUM(F289:F311)</f>
        <v>1271385.57</v>
      </c>
      <c r="G312" s="16">
        <f>SUM(G289:G311)</f>
        <v>7962888.57</v>
      </c>
      <c r="H312" s="17">
        <f>SUM(H289:H311)</f>
        <v>4104323</v>
      </c>
      <c r="I312" s="17"/>
      <c r="J312" s="18">
        <f>COUNTIF(J289:J311,TRUE())</f>
        <v>16</v>
      </c>
      <c r="K312" s="19"/>
    </row>
    <row r="313" ht="17.5" customHeight="1">
      <c r="A313" s="20"/>
      <c r="B313" s="5"/>
      <c r="C313" s="20"/>
      <c r="D313" s="21"/>
      <c r="E313" s="20"/>
      <c r="F313" s="20"/>
      <c r="G313" s="20"/>
      <c r="H313" s="22"/>
      <c r="I313" s="22"/>
      <c r="J313" s="20"/>
      <c r="K313" s="20"/>
    </row>
    <row r="314" ht="17" customHeight="1">
      <c r="A314" t="s" s="3">
        <v>1</v>
      </c>
      <c r="B314" t="s" s="3">
        <v>2</v>
      </c>
      <c r="C314" t="s" s="3">
        <v>3</v>
      </c>
      <c r="D314" t="s" s="3">
        <v>4</v>
      </c>
      <c r="E314" t="s" s="3">
        <v>5</v>
      </c>
      <c r="F314" t="s" s="3">
        <v>6</v>
      </c>
      <c r="G314" t="s" s="3">
        <v>7</v>
      </c>
      <c r="H314" s="7"/>
      <c r="I314" s="7"/>
      <c r="J314" s="8"/>
      <c r="K314" s="8"/>
    </row>
    <row r="315" ht="17" customHeight="1">
      <c r="A315" t="s" s="3">
        <v>207</v>
      </c>
      <c r="B315" s="5">
        <v>40850</v>
      </c>
      <c r="C315" t="s" s="3">
        <v>92</v>
      </c>
      <c r="D315" t="s" s="3">
        <v>208</v>
      </c>
      <c r="E315" s="6">
        <v>-573597</v>
      </c>
      <c r="F315" s="6">
        <f>E315*0.19</f>
        <v>-108983.43</v>
      </c>
      <c r="G315" s="6">
        <f>F315+E315</f>
        <v>-682580.4300000001</v>
      </c>
      <c r="H315" s="7">
        <f>IF(J315=TRUE(),E315,0)</f>
        <v>0</v>
      </c>
      <c r="I315" s="7">
        <f>IF(K315=TRUE(),E315,0)</f>
        <v>0</v>
      </c>
      <c r="J315" t="b" s="4">
        <v>0</v>
      </c>
      <c r="K315" t="b" s="4">
        <v>0</v>
      </c>
    </row>
    <row r="316" ht="17" customHeight="1">
      <c r="A316" t="s" s="3">
        <v>209</v>
      </c>
      <c r="B316" s="5">
        <v>40850</v>
      </c>
      <c r="C316" t="s" s="3">
        <v>98</v>
      </c>
      <c r="D316" t="s" s="3">
        <v>210</v>
      </c>
      <c r="E316" s="6">
        <v>-266520</v>
      </c>
      <c r="F316" s="6">
        <f>E316*0.19</f>
        <v>-50638.8</v>
      </c>
      <c r="G316" s="6">
        <f>E316+F316</f>
        <v>-317158.8</v>
      </c>
      <c r="H316" s="7">
        <f>IF(J316=TRUE(),E316,0)</f>
        <v>0</v>
      </c>
      <c r="I316" s="7">
        <f>IF(K316=TRUE(),E316,0)</f>
        <v>0</v>
      </c>
      <c r="J316" t="b" s="4">
        <v>0</v>
      </c>
      <c r="K316" t="b" s="4">
        <v>0</v>
      </c>
    </row>
    <row r="317" ht="17" customHeight="1">
      <c r="A317" s="4">
        <v>264</v>
      </c>
      <c r="B317" s="5">
        <v>40849</v>
      </c>
      <c r="C317" t="s" s="3">
        <v>22</v>
      </c>
      <c r="D317" t="s" s="3">
        <v>211</v>
      </c>
      <c r="E317" s="6">
        <v>149100</v>
      </c>
      <c r="F317" s="6">
        <f>E317*0.19</f>
        <v>28329</v>
      </c>
      <c r="G317" s="6">
        <f>E317+F317</f>
        <v>177429</v>
      </c>
      <c r="H317" s="7">
        <f>IF(J317=TRUE(),E317,0)</f>
        <v>149100</v>
      </c>
      <c r="I317" s="7">
        <f>IF(K317=TRUE(),E317,0)</f>
        <v>0</v>
      </c>
      <c r="J317" t="b" s="4">
        <v>1</v>
      </c>
      <c r="K317" t="b" s="4">
        <v>0</v>
      </c>
    </row>
    <row r="318" ht="17" customHeight="1">
      <c r="A318" s="4">
        <v>265</v>
      </c>
      <c r="B318" s="5">
        <v>40849</v>
      </c>
      <c r="C318" t="s" s="3">
        <v>56</v>
      </c>
      <c r="D318" t="s" s="3">
        <v>211</v>
      </c>
      <c r="E318" s="6">
        <v>125000</v>
      </c>
      <c r="F318" s="6">
        <f>E318*0.19</f>
        <v>23750</v>
      </c>
      <c r="G318" s="6">
        <f>E318+F318</f>
        <v>148750</v>
      </c>
      <c r="H318" s="7">
        <f>IF(J318=TRUE(),E318,0)</f>
        <v>125000</v>
      </c>
      <c r="I318" s="7">
        <f>IF(K318=TRUE(),E318,0)</f>
        <v>0</v>
      </c>
      <c r="J318" t="b" s="4">
        <v>1</v>
      </c>
      <c r="K318" t="b" s="4">
        <v>0</v>
      </c>
    </row>
    <row r="319" ht="17" customHeight="1">
      <c r="A319" s="4">
        <v>266</v>
      </c>
      <c r="B319" s="5">
        <v>40849</v>
      </c>
      <c r="C319" t="s" s="3">
        <v>42</v>
      </c>
      <c r="D319" t="s" s="3">
        <v>211</v>
      </c>
      <c r="E319" s="6">
        <v>157500</v>
      </c>
      <c r="F319" s="6">
        <f>E319*0.19</f>
        <v>29925</v>
      </c>
      <c r="G319" s="6">
        <f>E319+F319</f>
        <v>187425</v>
      </c>
      <c r="H319" s="7">
        <f>IF(J319=TRUE(),E319,0)</f>
        <v>157500</v>
      </c>
      <c r="I319" s="7">
        <f>IF(K319=TRUE(),E319,0)</f>
        <v>0</v>
      </c>
      <c r="J319" t="b" s="4">
        <v>1</v>
      </c>
      <c r="K319" t="b" s="4">
        <v>0</v>
      </c>
    </row>
    <row r="320" ht="17" customHeight="1">
      <c r="A320" s="4">
        <v>267</v>
      </c>
      <c r="B320" s="5">
        <v>40849</v>
      </c>
      <c r="C320" t="s" s="3">
        <v>60</v>
      </c>
      <c r="D320" t="s" s="3">
        <v>211</v>
      </c>
      <c r="E320" s="6">
        <v>30625</v>
      </c>
      <c r="F320" s="6">
        <f>E320*0.19</f>
        <v>5818.75</v>
      </c>
      <c r="G320" s="6">
        <f>E320+F320</f>
        <v>36443.75</v>
      </c>
      <c r="H320" s="7">
        <f>IF(J320=TRUE(),E320,0)</f>
        <v>30625</v>
      </c>
      <c r="I320" s="7">
        <f>IF(K320=TRUE(),E320,0)</f>
        <v>0</v>
      </c>
      <c r="J320" t="b" s="4">
        <v>1</v>
      </c>
      <c r="K320" t="b" s="4">
        <v>0</v>
      </c>
    </row>
    <row r="321" ht="17" customHeight="1">
      <c r="A321" s="4">
        <v>268</v>
      </c>
      <c r="B321" s="5">
        <v>40849</v>
      </c>
      <c r="C321" t="s" s="3">
        <v>34</v>
      </c>
      <c r="D321" t="s" s="3">
        <v>211</v>
      </c>
      <c r="E321" s="6">
        <v>25500</v>
      </c>
      <c r="F321" s="6">
        <f>E321*0.19</f>
        <v>4845</v>
      </c>
      <c r="G321" s="6">
        <f>E321+F321</f>
        <v>30345</v>
      </c>
      <c r="H321" s="7">
        <f>IF(J321=TRUE(),E321,0)</f>
        <v>25500</v>
      </c>
      <c r="I321" s="7">
        <f>IF(K321=TRUE(),E321,0)</f>
        <v>0</v>
      </c>
      <c r="J321" t="b" s="4">
        <v>1</v>
      </c>
      <c r="K321" t="b" s="4">
        <v>0</v>
      </c>
    </row>
    <row r="322" ht="17" customHeight="1">
      <c r="A322" s="4">
        <v>269</v>
      </c>
      <c r="B322" s="5">
        <v>40849</v>
      </c>
      <c r="C322" t="s" s="3">
        <v>40</v>
      </c>
      <c r="D322" t="s" s="3">
        <v>211</v>
      </c>
      <c r="E322" s="6">
        <v>158000</v>
      </c>
      <c r="F322" s="6">
        <f>E322*0.19</f>
        <v>30020</v>
      </c>
      <c r="G322" s="6">
        <f>E322+F322</f>
        <v>188020</v>
      </c>
      <c r="H322" s="7">
        <f>IF(J322=TRUE(),E322,0)</f>
        <v>158000</v>
      </c>
      <c r="I322" s="7">
        <f>IF(K322=TRUE(),E322,0)</f>
        <v>0</v>
      </c>
      <c r="J322" t="b" s="4">
        <v>1</v>
      </c>
      <c r="K322" t="b" s="4">
        <v>0</v>
      </c>
    </row>
    <row r="323" ht="17" customHeight="1">
      <c r="A323" s="4">
        <v>270</v>
      </c>
      <c r="B323" s="5">
        <v>40849</v>
      </c>
      <c r="C323" t="s" s="3">
        <v>66</v>
      </c>
      <c r="D323" t="s" s="3">
        <v>211</v>
      </c>
      <c r="E323" s="6">
        <v>105750</v>
      </c>
      <c r="F323" s="6">
        <f>E323*0.19</f>
        <v>20092.5</v>
      </c>
      <c r="G323" s="6">
        <f>E323+F323</f>
        <v>125842.5</v>
      </c>
      <c r="H323" s="7">
        <f>IF(J323=TRUE(),E323,0)</f>
        <v>105750</v>
      </c>
      <c r="I323" s="7">
        <f>IF(K323=TRUE(),E323,0)</f>
        <v>0</v>
      </c>
      <c r="J323" t="b" s="4">
        <v>1</v>
      </c>
      <c r="K323" t="b" s="4">
        <v>0</v>
      </c>
    </row>
    <row r="324" ht="17" customHeight="1">
      <c r="A324" s="4">
        <v>271</v>
      </c>
      <c r="B324" s="5">
        <v>40849</v>
      </c>
      <c r="C324" t="s" s="3">
        <v>120</v>
      </c>
      <c r="D324" t="s" s="3">
        <v>211</v>
      </c>
      <c r="E324" s="6">
        <v>285792</v>
      </c>
      <c r="F324" s="6">
        <f>E324*0.19</f>
        <v>54300.48</v>
      </c>
      <c r="G324" s="6">
        <f>E324+F324</f>
        <v>340092.48</v>
      </c>
      <c r="H324" s="7">
        <f>IF(J324=TRUE(),E324,0)</f>
        <v>285792</v>
      </c>
      <c r="I324" s="7">
        <f>IF(K324=TRUE(),E324,0)</f>
        <v>0</v>
      </c>
      <c r="J324" t="b" s="4">
        <v>1</v>
      </c>
      <c r="K324" t="b" s="4">
        <v>0</v>
      </c>
    </row>
    <row r="325" ht="17" customHeight="1">
      <c r="A325" s="4">
        <v>272</v>
      </c>
      <c r="B325" s="5">
        <v>40849</v>
      </c>
      <c r="C325" t="s" s="3">
        <v>130</v>
      </c>
      <c r="D325" t="s" s="3">
        <v>211</v>
      </c>
      <c r="E325" s="6">
        <v>323917</v>
      </c>
      <c r="F325" s="6">
        <f>E325*0.19</f>
        <v>61544.23</v>
      </c>
      <c r="G325" s="6">
        <f>E325+F325</f>
        <v>385461.23</v>
      </c>
      <c r="H325" s="7">
        <f>IF(J325=TRUE(),E325,0)</f>
        <v>323917</v>
      </c>
      <c r="I325" s="7">
        <f>IF(K325=TRUE(),E325,0)</f>
        <v>0</v>
      </c>
      <c r="J325" t="b" s="4">
        <v>1</v>
      </c>
      <c r="K325" t="b" s="4">
        <v>0</v>
      </c>
    </row>
    <row r="326" ht="17" customHeight="1">
      <c r="A326" s="4">
        <v>273</v>
      </c>
      <c r="B326" s="5">
        <v>40849</v>
      </c>
      <c r="C326" t="s" s="3">
        <v>127</v>
      </c>
      <c r="D326" t="s" s="3">
        <v>211</v>
      </c>
      <c r="E326" s="6">
        <v>257292</v>
      </c>
      <c r="F326" s="6">
        <f>E326*0.19</f>
        <v>48885.48</v>
      </c>
      <c r="G326" s="6">
        <f>E326+F326</f>
        <v>306177.48</v>
      </c>
      <c r="H326" s="7">
        <f>IF(J326=TRUE(),E326,0)</f>
        <v>257292</v>
      </c>
      <c r="I326" s="7">
        <f>IF(K326=TRUE(),E326,0)</f>
        <v>0</v>
      </c>
      <c r="J326" t="b" s="4">
        <v>1</v>
      </c>
      <c r="K326" t="b" s="4">
        <v>0</v>
      </c>
    </row>
    <row r="327" ht="17" customHeight="1">
      <c r="A327" s="4">
        <v>276</v>
      </c>
      <c r="B327" s="5">
        <v>40855</v>
      </c>
      <c r="C327" t="s" s="3">
        <v>212</v>
      </c>
      <c r="D327" t="s" s="3">
        <v>213</v>
      </c>
      <c r="E327" s="6">
        <v>337500</v>
      </c>
      <c r="F327" s="6">
        <f>E327*0.19</f>
        <v>64125</v>
      </c>
      <c r="G327" s="6">
        <f>E327+F327</f>
        <v>401625</v>
      </c>
      <c r="H327" s="7">
        <f>IF(J327=TRUE(),E327,0)</f>
        <v>0</v>
      </c>
      <c r="I327" s="7">
        <f>IF(K327=TRUE(),E327,0)</f>
        <v>0</v>
      </c>
      <c r="J327" t="b" s="4">
        <v>0</v>
      </c>
      <c r="K327" t="b" s="4">
        <v>0</v>
      </c>
    </row>
    <row r="328" ht="17" customHeight="1">
      <c r="A328" s="4">
        <v>277</v>
      </c>
      <c r="B328" s="5">
        <v>40869</v>
      </c>
      <c r="C328" t="s" s="3">
        <v>36</v>
      </c>
      <c r="D328" t="s" s="3">
        <v>211</v>
      </c>
      <c r="E328" s="6">
        <v>131994</v>
      </c>
      <c r="F328" s="6">
        <f>E328*0.19</f>
        <v>25078.86</v>
      </c>
      <c r="G328" s="6">
        <f>E328+F328</f>
        <v>157072.86</v>
      </c>
      <c r="H328" s="7">
        <f>IF(J328=TRUE(),E328,0)</f>
        <v>131994</v>
      </c>
      <c r="I328" s="7">
        <f>IF(K328=TRUE(),E328,0)</f>
        <v>0</v>
      </c>
      <c r="J328" t="b" s="4">
        <v>1</v>
      </c>
      <c r="K328" t="b" s="4">
        <v>0</v>
      </c>
    </row>
    <row r="329" ht="17" customHeight="1">
      <c r="A329" s="4">
        <v>278</v>
      </c>
      <c r="B329" s="5">
        <v>40870</v>
      </c>
      <c r="C329" t="s" s="3">
        <v>58</v>
      </c>
      <c r="D329" t="s" s="3">
        <v>214</v>
      </c>
      <c r="E329" s="6">
        <v>135000</v>
      </c>
      <c r="F329" s="6">
        <f>E329*0.19</f>
        <v>25650</v>
      </c>
      <c r="G329" s="6">
        <f>E329+F329</f>
        <v>160650</v>
      </c>
      <c r="H329" s="7">
        <f>IF(J329=TRUE(),E329,0)</f>
        <v>0</v>
      </c>
      <c r="I329" s="7">
        <f>IF(K329=TRUE(),E329,0)</f>
        <v>0</v>
      </c>
      <c r="J329" t="b" s="4">
        <v>0</v>
      </c>
      <c r="K329" t="b" s="4">
        <v>0</v>
      </c>
    </row>
    <row r="330" ht="17" customHeight="1">
      <c r="A330" s="4">
        <v>279</v>
      </c>
      <c r="B330" s="5">
        <v>40877</v>
      </c>
      <c r="C330" t="s" s="3">
        <v>92</v>
      </c>
      <c r="D330" t="s" s="3">
        <v>211</v>
      </c>
      <c r="E330" s="6">
        <v>506115</v>
      </c>
      <c r="F330" s="6">
        <f>E330*0.19</f>
        <v>96161.850000000006</v>
      </c>
      <c r="G330" s="6">
        <f>E330+F330</f>
        <v>602276.85</v>
      </c>
      <c r="H330" s="7">
        <f>IF(J330=TRUE(),E330,0)</f>
        <v>506115</v>
      </c>
      <c r="I330" s="7">
        <f>IF(K330=TRUE(),E330,0)</f>
        <v>0</v>
      </c>
      <c r="J330" t="b" s="4">
        <v>1</v>
      </c>
      <c r="K330" t="b" s="4">
        <v>0</v>
      </c>
    </row>
    <row r="331" ht="17.5" customHeight="1">
      <c r="A331" s="9">
        <v>280</v>
      </c>
      <c r="B331" s="5">
        <v>40877</v>
      </c>
      <c r="C331" t="s" s="10">
        <v>98</v>
      </c>
      <c r="D331" t="s" s="10">
        <v>211</v>
      </c>
      <c r="E331" s="11">
        <v>335160</v>
      </c>
      <c r="F331" s="11">
        <f>E331*0.19</f>
        <v>63680.4</v>
      </c>
      <c r="G331" s="11">
        <f>E331+F331</f>
        <v>398840.4</v>
      </c>
      <c r="H331" s="12">
        <f>IF(J331=TRUE(),E331,0)</f>
        <v>335160</v>
      </c>
      <c r="I331" s="12">
        <f>IF(K331=TRUE(),E331,0)</f>
        <v>0</v>
      </c>
      <c r="J331" t="b" s="9">
        <v>1</v>
      </c>
      <c r="K331" t="b" s="9">
        <v>0</v>
      </c>
    </row>
    <row r="332" ht="18" customHeight="1">
      <c r="A332" s="13">
        <v>17</v>
      </c>
      <c r="B332" t="s" s="3">
        <v>215</v>
      </c>
      <c r="C332" t="s" s="14">
        <v>7</v>
      </c>
      <c r="D332" s="14"/>
      <c r="E332" s="15">
        <f>SUM(E315:E331)</f>
        <v>2224128</v>
      </c>
      <c r="F332" s="15">
        <f>SUM(F315:F331)</f>
        <v>422584.3200000001</v>
      </c>
      <c r="G332" s="16">
        <f>SUM(G315:G331)</f>
        <v>2646712.32</v>
      </c>
      <c r="H332" s="17">
        <f>SUM(H315:H331)</f>
        <v>2591745</v>
      </c>
      <c r="I332" s="17"/>
      <c r="J332" s="18">
        <f>COUNTIF(J315:J331,TRUE())</f>
        <v>13</v>
      </c>
      <c r="K332" s="19"/>
    </row>
    <row r="333" ht="17.5" customHeight="1">
      <c r="A333" s="20"/>
      <c r="B333" s="5"/>
      <c r="C333" s="20"/>
      <c r="D333" s="21"/>
      <c r="E333" s="20"/>
      <c r="F333" s="20"/>
      <c r="G333" s="20"/>
      <c r="H333" s="22"/>
      <c r="I333" s="22"/>
      <c r="J333" s="20"/>
      <c r="K333" s="20"/>
    </row>
    <row r="334" ht="17" customHeight="1">
      <c r="A334" t="s" s="3">
        <v>1</v>
      </c>
      <c r="B334" t="s" s="3">
        <v>2</v>
      </c>
      <c r="C334" t="s" s="3">
        <v>3</v>
      </c>
      <c r="D334" t="s" s="3">
        <v>4</v>
      </c>
      <c r="E334" t="s" s="3">
        <v>5</v>
      </c>
      <c r="F334" t="s" s="3">
        <v>6</v>
      </c>
      <c r="G334" t="s" s="3">
        <v>7</v>
      </c>
      <c r="H334" s="7"/>
      <c r="I334" s="7"/>
      <c r="J334" s="8"/>
      <c r="K334" s="8"/>
    </row>
    <row r="335" ht="17" customHeight="1">
      <c r="A335" s="4">
        <v>281</v>
      </c>
      <c r="B335" s="5">
        <v>40878</v>
      </c>
      <c r="C335" t="s" s="3">
        <v>216</v>
      </c>
      <c r="D335" t="s" s="3">
        <v>217</v>
      </c>
      <c r="E335" s="6">
        <v>490000</v>
      </c>
      <c r="F335" s="6">
        <f>E335*0.19</f>
        <v>93100</v>
      </c>
      <c r="G335" s="6">
        <f>E335+F335</f>
        <v>583100</v>
      </c>
      <c r="H335" s="7">
        <f>IF(J335=TRUE(),E335,0)</f>
        <v>0</v>
      </c>
      <c r="I335" s="7">
        <f>IF(K335=TRUE(),E335,0)</f>
        <v>0</v>
      </c>
      <c r="J335" t="b" s="4">
        <v>0</v>
      </c>
      <c r="K335" t="b" s="4">
        <v>0</v>
      </c>
    </row>
    <row r="336" ht="17" customHeight="1">
      <c r="A336" s="4">
        <v>282</v>
      </c>
      <c r="B336" s="5">
        <v>40878</v>
      </c>
      <c r="C336" t="s" s="3">
        <v>92</v>
      </c>
      <c r="D336" t="s" s="3">
        <v>218</v>
      </c>
      <c r="E336" s="6">
        <v>1080000</v>
      </c>
      <c r="F336" s="6">
        <f>E336*0.19</f>
        <v>205200</v>
      </c>
      <c r="G336" s="6">
        <f>E336+F336</f>
        <v>1285200</v>
      </c>
      <c r="H336" s="7">
        <f>IF(J336=TRUE(),E336,0)</f>
        <v>0</v>
      </c>
      <c r="I336" s="7">
        <f>IF(K336=TRUE(),E336,0)</f>
        <v>0</v>
      </c>
      <c r="J336" t="b" s="4">
        <v>0</v>
      </c>
      <c r="K336" t="b" s="4">
        <v>0</v>
      </c>
    </row>
    <row r="337" ht="17" customHeight="1">
      <c r="A337" s="4">
        <v>283</v>
      </c>
      <c r="B337" s="5">
        <v>40878</v>
      </c>
      <c r="C337" t="s" s="3">
        <v>58</v>
      </c>
      <c r="D337" t="s" s="3">
        <v>219</v>
      </c>
      <c r="E337" s="6">
        <v>180000</v>
      </c>
      <c r="F337" s="6">
        <f>E337*0.19</f>
        <v>34200</v>
      </c>
      <c r="G337" s="6">
        <f>E337+F337</f>
        <v>214200</v>
      </c>
      <c r="H337" s="7">
        <f>IF(J337=TRUE(),E337,0)</f>
        <v>0</v>
      </c>
      <c r="I337" s="7">
        <f>IF(K337=TRUE(),E337,0)</f>
        <v>0</v>
      </c>
      <c r="J337" t="b" s="4">
        <v>0</v>
      </c>
      <c r="K337" t="b" s="4">
        <v>0</v>
      </c>
    </row>
    <row r="338" ht="17" customHeight="1">
      <c r="A338" s="4">
        <v>284</v>
      </c>
      <c r="B338" s="5">
        <v>40878</v>
      </c>
      <c r="C338" t="s" s="3">
        <v>22</v>
      </c>
      <c r="D338" t="s" s="3">
        <v>23</v>
      </c>
      <c r="E338" s="6">
        <v>149100</v>
      </c>
      <c r="F338" s="6">
        <f>E338*0.19</f>
        <v>28329</v>
      </c>
      <c r="G338" s="6">
        <f>E338+F338</f>
        <v>177429</v>
      </c>
      <c r="H338" s="7">
        <f>IF(J338=TRUE(),E338,0)</f>
        <v>149100</v>
      </c>
      <c r="I338" s="7">
        <f>IF(K338=TRUE(),E338,0)</f>
        <v>0</v>
      </c>
      <c r="J338" t="b" s="4">
        <v>1</v>
      </c>
      <c r="K338" t="b" s="4">
        <v>0</v>
      </c>
    </row>
    <row r="339" ht="17" customHeight="1">
      <c r="A339" s="4">
        <v>285</v>
      </c>
      <c r="B339" s="5">
        <v>40878</v>
      </c>
      <c r="C339" t="s" s="3">
        <v>56</v>
      </c>
      <c r="D339" t="s" s="3">
        <v>23</v>
      </c>
      <c r="E339" s="6">
        <v>125000</v>
      </c>
      <c r="F339" s="6">
        <f>E339*0.19</f>
        <v>23750</v>
      </c>
      <c r="G339" s="6">
        <f>E339+F339</f>
        <v>148750</v>
      </c>
      <c r="H339" s="7">
        <f>IF(J339=TRUE(),E339,0)</f>
        <v>125000</v>
      </c>
      <c r="I339" s="7">
        <f>IF(K339=TRUE(),E339,0)</f>
        <v>0</v>
      </c>
      <c r="J339" t="b" s="4">
        <v>1</v>
      </c>
      <c r="K339" t="b" s="4">
        <v>0</v>
      </c>
    </row>
    <row r="340" ht="17" customHeight="1">
      <c r="A340" s="4">
        <v>286</v>
      </c>
      <c r="B340" s="5">
        <v>40878</v>
      </c>
      <c r="C340" t="s" s="3">
        <v>42</v>
      </c>
      <c r="D340" t="s" s="3">
        <v>23</v>
      </c>
      <c r="E340" s="6">
        <v>157500</v>
      </c>
      <c r="F340" s="6">
        <f>E340*0.19</f>
        <v>29925</v>
      </c>
      <c r="G340" s="6">
        <f>E340+F340</f>
        <v>187425</v>
      </c>
      <c r="H340" s="7">
        <f>IF(J340=TRUE(),E340,0)</f>
        <v>157500</v>
      </c>
      <c r="I340" s="7">
        <f>IF(K340=TRUE(),E340,0)</f>
        <v>0</v>
      </c>
      <c r="J340" t="b" s="4">
        <v>1</v>
      </c>
      <c r="K340" t="b" s="4">
        <v>0</v>
      </c>
    </row>
    <row r="341" ht="17" customHeight="1">
      <c r="A341" s="4">
        <v>287</v>
      </c>
      <c r="B341" s="5">
        <v>40878</v>
      </c>
      <c r="C341" t="s" s="3">
        <v>60</v>
      </c>
      <c r="D341" t="s" s="3">
        <v>23</v>
      </c>
      <c r="E341" s="6">
        <v>30625</v>
      </c>
      <c r="F341" s="6">
        <f>E341*0.19</f>
        <v>5818.75</v>
      </c>
      <c r="G341" s="6">
        <f>E341+F341</f>
        <v>36443.75</v>
      </c>
      <c r="H341" s="7">
        <f>IF(J341=TRUE(),E341,0)</f>
        <v>30625</v>
      </c>
      <c r="I341" s="7">
        <f>IF(K341=TRUE(),E341,0)</f>
        <v>0</v>
      </c>
      <c r="J341" t="b" s="4">
        <v>1</v>
      </c>
      <c r="K341" t="b" s="4">
        <v>0</v>
      </c>
    </row>
    <row r="342" ht="17" customHeight="1">
      <c r="A342" s="4">
        <v>288</v>
      </c>
      <c r="B342" s="5">
        <v>40878</v>
      </c>
      <c r="C342" t="s" s="3">
        <v>34</v>
      </c>
      <c r="D342" t="s" s="3">
        <v>23</v>
      </c>
      <c r="E342" s="6">
        <v>25500</v>
      </c>
      <c r="F342" s="6">
        <f>E342*0.19</f>
        <v>4845</v>
      </c>
      <c r="G342" s="6">
        <f>E342+F342</f>
        <v>30345</v>
      </c>
      <c r="H342" s="7">
        <f>IF(J342=TRUE(),E342,0)</f>
        <v>25500</v>
      </c>
      <c r="I342" s="7">
        <f>IF(K342=TRUE(),E342,0)</f>
        <v>0</v>
      </c>
      <c r="J342" t="b" s="4">
        <v>1</v>
      </c>
      <c r="K342" t="b" s="4">
        <v>0</v>
      </c>
    </row>
    <row r="343" ht="17" customHeight="1">
      <c r="A343" s="4">
        <v>289</v>
      </c>
      <c r="B343" s="5">
        <v>40878</v>
      </c>
      <c r="C343" t="s" s="3">
        <v>40</v>
      </c>
      <c r="D343" t="s" s="3">
        <v>23</v>
      </c>
      <c r="E343" s="6">
        <v>158000</v>
      </c>
      <c r="F343" s="6">
        <f>E343*0.19</f>
        <v>30020</v>
      </c>
      <c r="G343" s="6">
        <f>E343+F343</f>
        <v>188020</v>
      </c>
      <c r="H343" s="7">
        <f>IF(J343=TRUE(),E343,0)</f>
        <v>158000</v>
      </c>
      <c r="I343" s="7">
        <f>IF(K343=TRUE(),E343,0)</f>
        <v>0</v>
      </c>
      <c r="J343" t="b" s="4">
        <v>1</v>
      </c>
      <c r="K343" t="b" s="4">
        <v>0</v>
      </c>
    </row>
    <row r="344" ht="17" customHeight="1">
      <c r="A344" s="4">
        <v>290</v>
      </c>
      <c r="B344" s="5">
        <v>40878</v>
      </c>
      <c r="C344" t="s" s="3">
        <v>66</v>
      </c>
      <c r="D344" t="s" s="3">
        <v>23</v>
      </c>
      <c r="E344" s="6">
        <v>105750</v>
      </c>
      <c r="F344" s="6">
        <f>E344*0.19</f>
        <v>20092.5</v>
      </c>
      <c r="G344" s="6">
        <f>E344+F344</f>
        <v>125842.5</v>
      </c>
      <c r="H344" s="7">
        <f>IF(J344=TRUE(),E344,0)</f>
        <v>105750</v>
      </c>
      <c r="I344" s="7">
        <f>IF(K344=TRUE(),E344,0)</f>
        <v>0</v>
      </c>
      <c r="J344" t="b" s="4">
        <v>1</v>
      </c>
      <c r="K344" t="b" s="4">
        <v>0</v>
      </c>
    </row>
    <row r="345" ht="17" customHeight="1">
      <c r="A345" s="4">
        <v>291</v>
      </c>
      <c r="B345" s="5">
        <v>40878</v>
      </c>
      <c r="C345" t="s" s="3">
        <v>120</v>
      </c>
      <c r="D345" t="s" s="3">
        <v>23</v>
      </c>
      <c r="E345" s="6">
        <v>285792</v>
      </c>
      <c r="F345" s="6">
        <f>E345*0.19</f>
        <v>54300.48</v>
      </c>
      <c r="G345" s="6">
        <f>E345+F345</f>
        <v>340092.48</v>
      </c>
      <c r="H345" s="7">
        <f>IF(J345=TRUE(),E345,0)</f>
        <v>285792</v>
      </c>
      <c r="I345" s="7">
        <f>IF(K345=TRUE(),E345,0)</f>
        <v>0</v>
      </c>
      <c r="J345" t="b" s="4">
        <v>1</v>
      </c>
      <c r="K345" t="b" s="4">
        <v>0</v>
      </c>
    </row>
    <row r="346" ht="17" customHeight="1">
      <c r="A346" s="4">
        <v>292</v>
      </c>
      <c r="B346" s="5">
        <v>40878</v>
      </c>
      <c r="C346" t="s" s="3">
        <v>130</v>
      </c>
      <c r="D346" t="s" s="3">
        <v>23</v>
      </c>
      <c r="E346" s="6">
        <v>323917</v>
      </c>
      <c r="F346" s="6">
        <f>E346*0.19</f>
        <v>61544.23</v>
      </c>
      <c r="G346" s="6">
        <f>E346+F346</f>
        <v>385461.23</v>
      </c>
      <c r="H346" s="7">
        <f>IF(J346=TRUE(),E346,0)</f>
        <v>323917</v>
      </c>
      <c r="I346" s="7">
        <f>IF(K346=TRUE(),E346,0)</f>
        <v>0</v>
      </c>
      <c r="J346" t="b" s="4">
        <v>1</v>
      </c>
      <c r="K346" t="b" s="4">
        <v>0</v>
      </c>
    </row>
    <row r="347" ht="17" customHeight="1">
      <c r="A347" s="4">
        <v>293</v>
      </c>
      <c r="B347" s="5">
        <v>40878</v>
      </c>
      <c r="C347" t="s" s="3">
        <v>127</v>
      </c>
      <c r="D347" t="s" s="3">
        <v>23</v>
      </c>
      <c r="E347" s="6">
        <v>257292</v>
      </c>
      <c r="F347" s="6">
        <f>E347*0.19</f>
        <v>48885.48</v>
      </c>
      <c r="G347" s="6">
        <f>E347+F347</f>
        <v>306177.48</v>
      </c>
      <c r="H347" s="7">
        <f>IF(J347=TRUE(),E347,0)</f>
        <v>257292</v>
      </c>
      <c r="I347" s="7">
        <f>IF(K347=TRUE(),E347,0)</f>
        <v>0</v>
      </c>
      <c r="J347" t="b" s="4">
        <v>1</v>
      </c>
      <c r="K347" t="b" s="4">
        <v>0</v>
      </c>
    </row>
    <row r="348" ht="17" customHeight="1">
      <c r="A348" s="4">
        <v>294</v>
      </c>
      <c r="B348" s="5">
        <v>40879</v>
      </c>
      <c r="C348" t="s" s="3">
        <v>33</v>
      </c>
      <c r="D348" t="s" s="3">
        <v>211</v>
      </c>
      <c r="E348" s="6">
        <v>79995</v>
      </c>
      <c r="F348" s="6">
        <f>E348*0.19</f>
        <v>15199.05</v>
      </c>
      <c r="G348" s="6">
        <f>E348+F348</f>
        <v>95194.05</v>
      </c>
      <c r="H348" s="7">
        <f>IF(J348=TRUE(),E348,0)</f>
        <v>79995</v>
      </c>
      <c r="I348" s="7">
        <f>IF(K348=TRUE(),E348,0)</f>
        <v>0</v>
      </c>
      <c r="J348" t="b" s="4">
        <v>1</v>
      </c>
      <c r="K348" t="b" s="4">
        <v>0</v>
      </c>
    </row>
    <row r="349" ht="17" customHeight="1">
      <c r="A349" s="4">
        <v>295</v>
      </c>
      <c r="B349" s="5">
        <v>40878</v>
      </c>
      <c r="C349" t="s" s="3">
        <v>216</v>
      </c>
      <c r="D349" t="s" s="3">
        <v>220</v>
      </c>
      <c r="E349" s="6">
        <v>367500</v>
      </c>
      <c r="F349" s="6">
        <f>E349*0.19</f>
        <v>69825</v>
      </c>
      <c r="G349" s="6">
        <f>E349+F349</f>
        <v>437325</v>
      </c>
      <c r="H349" s="7">
        <f>IF(J349=TRUE(),E349,0)</f>
        <v>0</v>
      </c>
      <c r="I349" s="7">
        <f>IF(K349=TRUE(),E349,0)</f>
        <v>0</v>
      </c>
      <c r="J349" t="b" s="4">
        <v>0</v>
      </c>
      <c r="K349" t="b" s="4">
        <v>0</v>
      </c>
    </row>
    <row r="350" ht="17" customHeight="1">
      <c r="A350" s="4">
        <v>296</v>
      </c>
      <c r="B350" s="5">
        <v>40885</v>
      </c>
      <c r="C350" t="s" s="3">
        <v>10</v>
      </c>
      <c r="D350" t="s" s="3">
        <v>221</v>
      </c>
      <c r="E350" s="6">
        <v>290000</v>
      </c>
      <c r="F350" s="6">
        <f>E350*0.19</f>
        <v>55100</v>
      </c>
      <c r="G350" s="6">
        <f>E350+F350</f>
        <v>345100</v>
      </c>
      <c r="H350" s="7">
        <f>IF(J350=TRUE(),E350,0)</f>
        <v>0</v>
      </c>
      <c r="I350" s="7">
        <f>IF(K350=TRUE(),E350,0)</f>
        <v>0</v>
      </c>
      <c r="J350" t="b" s="4">
        <v>0</v>
      </c>
      <c r="K350" t="b" s="4">
        <v>0</v>
      </c>
    </row>
    <row r="351" ht="17" customHeight="1">
      <c r="A351" s="4">
        <v>297</v>
      </c>
      <c r="B351" s="5"/>
      <c r="C351" t="s" s="3">
        <v>11</v>
      </c>
      <c r="D351" s="3"/>
      <c r="E351" s="6">
        <v>0</v>
      </c>
      <c r="F351" s="6">
        <f>E351*0.19</f>
        <v>0</v>
      </c>
      <c r="G351" s="6">
        <f>E351+F351</f>
        <v>0</v>
      </c>
      <c r="H351" s="7">
        <f>IF(J351=TRUE(),E351,0)</f>
        <v>0</v>
      </c>
      <c r="I351" s="7">
        <f>IF(K351=TRUE(),E351,0)</f>
        <v>0</v>
      </c>
      <c r="J351" t="b" s="4">
        <v>0</v>
      </c>
      <c r="K351" t="b" s="4">
        <v>0</v>
      </c>
    </row>
    <row r="352" ht="17" customHeight="1">
      <c r="A352" s="4">
        <v>298</v>
      </c>
      <c r="B352" s="5"/>
      <c r="C352" t="s" s="3">
        <v>11</v>
      </c>
      <c r="D352" s="3"/>
      <c r="E352" s="6">
        <v>0</v>
      </c>
      <c r="F352" s="6">
        <f>E352*0.19</f>
        <v>0</v>
      </c>
      <c r="G352" s="6">
        <f>E352+F352</f>
        <v>0</v>
      </c>
      <c r="H352" s="7">
        <f>IF(J352=TRUE(),E352,0)</f>
        <v>0</v>
      </c>
      <c r="I352" s="7">
        <f>IF(K352=TRUE(),E352,0)</f>
        <v>0</v>
      </c>
      <c r="J352" t="b" s="4">
        <v>0</v>
      </c>
      <c r="K352" t="b" s="4">
        <v>0</v>
      </c>
    </row>
    <row r="353" ht="17" customHeight="1">
      <c r="A353" s="4">
        <v>299</v>
      </c>
      <c r="B353" s="5">
        <v>40890</v>
      </c>
      <c r="C353" t="s" s="3">
        <v>222</v>
      </c>
      <c r="D353" t="s" s="3">
        <v>223</v>
      </c>
      <c r="E353" s="6">
        <v>130000</v>
      </c>
      <c r="F353" s="6">
        <f>E353*0.19</f>
        <v>24700</v>
      </c>
      <c r="G353" s="6">
        <f>E353+F353</f>
        <v>154700</v>
      </c>
      <c r="H353" s="7">
        <f>IF(J353=TRUE(),E353,0)</f>
        <v>0</v>
      </c>
      <c r="I353" s="7">
        <f>IF(K353=TRUE(),E353,0)</f>
        <v>0</v>
      </c>
      <c r="J353" t="b" s="4">
        <v>0</v>
      </c>
      <c r="K353" t="b" s="4">
        <v>0</v>
      </c>
    </row>
    <row r="354" ht="17" customHeight="1">
      <c r="A354" s="4">
        <v>300</v>
      </c>
      <c r="B354" s="5">
        <v>40890</v>
      </c>
      <c r="C354" t="s" s="3">
        <v>224</v>
      </c>
      <c r="D354" t="s" s="3">
        <v>225</v>
      </c>
      <c r="E354" s="6">
        <v>240000</v>
      </c>
      <c r="F354" s="6">
        <f>E354*0.19</f>
        <v>45600</v>
      </c>
      <c r="G354" s="6">
        <f>E354+F354</f>
        <v>285600</v>
      </c>
      <c r="H354" s="7">
        <f>IF(J354=TRUE(),E354,0)</f>
        <v>0</v>
      </c>
      <c r="I354" s="7">
        <f>IF(K354=TRUE(),E354,0)</f>
        <v>0</v>
      </c>
      <c r="J354" t="b" s="4">
        <v>0</v>
      </c>
      <c r="K354" t="b" s="4">
        <v>0</v>
      </c>
    </row>
    <row r="355" ht="17" customHeight="1">
      <c r="A355" s="4">
        <v>301</v>
      </c>
      <c r="B355" s="5">
        <v>40899</v>
      </c>
      <c r="C355" t="s" s="3">
        <v>120</v>
      </c>
      <c r="D355" t="s" s="3">
        <v>226</v>
      </c>
      <c r="E355" s="6">
        <v>374600</v>
      </c>
      <c r="F355" s="6">
        <f>E355*0.19</f>
        <v>71174</v>
      </c>
      <c r="G355" s="6">
        <f>E355+F355</f>
        <v>445774</v>
      </c>
      <c r="H355" s="7">
        <f>IF(J355=TRUE(),E355,0)</f>
        <v>0</v>
      </c>
      <c r="I355" s="7">
        <f>IF(K355=TRUE(),E355,0)</f>
        <v>0</v>
      </c>
      <c r="J355" t="b" s="4">
        <v>0</v>
      </c>
      <c r="K355" t="b" s="4">
        <v>0</v>
      </c>
    </row>
    <row r="356" ht="17" customHeight="1">
      <c r="A356" s="4">
        <v>302</v>
      </c>
      <c r="B356" s="5">
        <v>40899</v>
      </c>
      <c r="C356" t="s" s="3">
        <v>33</v>
      </c>
      <c r="D356" t="s" s="3">
        <v>23</v>
      </c>
      <c r="E356" s="6">
        <v>731500</v>
      </c>
      <c r="F356" s="6">
        <f>E356*0.19</f>
        <v>138985</v>
      </c>
      <c r="G356" s="6">
        <f>E356+F356</f>
        <v>870485</v>
      </c>
      <c r="H356" s="7">
        <f>IF(J356=TRUE(),E356,0)</f>
        <v>731500</v>
      </c>
      <c r="I356" s="7">
        <f>IF(K356=TRUE(),E356,0)</f>
        <v>0</v>
      </c>
      <c r="J356" t="b" s="4">
        <v>1</v>
      </c>
      <c r="K356" t="b" s="4">
        <v>0</v>
      </c>
    </row>
    <row r="357" ht="17" customHeight="1">
      <c r="A357" s="4">
        <v>303</v>
      </c>
      <c r="B357" s="5">
        <v>40900</v>
      </c>
      <c r="C357" t="s" s="3">
        <v>227</v>
      </c>
      <c r="D357" t="s" s="3">
        <v>228</v>
      </c>
      <c r="E357" s="6">
        <v>555000</v>
      </c>
      <c r="F357" s="6">
        <f>E357*0.19</f>
        <v>105450</v>
      </c>
      <c r="G357" s="6">
        <f>E357+F357</f>
        <v>660450</v>
      </c>
      <c r="H357" s="7">
        <f>IF(J357=TRUE(),E357,0)</f>
        <v>0</v>
      </c>
      <c r="I357" s="7">
        <f>IF(K357=TRUE(),E357,0)</f>
        <v>0</v>
      </c>
      <c r="J357" t="b" s="4">
        <v>0</v>
      </c>
      <c r="K357" t="b" s="4">
        <v>0</v>
      </c>
    </row>
    <row r="358" ht="17" customHeight="1">
      <c r="A358" s="4">
        <v>304</v>
      </c>
      <c r="B358" s="5"/>
      <c r="C358" t="s" s="3">
        <v>11</v>
      </c>
      <c r="D358" s="3"/>
      <c r="E358" s="6">
        <v>0</v>
      </c>
      <c r="F358" s="6">
        <f>E358*0.19</f>
        <v>0</v>
      </c>
      <c r="G358" s="6">
        <f>E358+F358</f>
        <v>0</v>
      </c>
      <c r="H358" s="7">
        <f>IF(J358=TRUE(),E358,0)</f>
        <v>0</v>
      </c>
      <c r="I358" s="7">
        <f>IF(K358=TRUE(),E358,0)</f>
        <v>0</v>
      </c>
      <c r="J358" t="b" s="4">
        <v>0</v>
      </c>
      <c r="K358" t="b" s="4">
        <v>0</v>
      </c>
    </row>
    <row r="359" ht="17" customHeight="1">
      <c r="A359" s="4">
        <v>305</v>
      </c>
      <c r="B359" s="5">
        <v>40900</v>
      </c>
      <c r="C359" t="s" s="3">
        <v>10</v>
      </c>
      <c r="D359" t="s" s="3">
        <v>229</v>
      </c>
      <c r="E359" s="6">
        <v>550000</v>
      </c>
      <c r="F359" s="6">
        <f>E359*0.19</f>
        <v>104500</v>
      </c>
      <c r="G359" s="6">
        <f>E359+F359</f>
        <v>654500</v>
      </c>
      <c r="H359" s="7">
        <f>IF(J359=TRUE(),E359,0)</f>
        <v>0</v>
      </c>
      <c r="I359" s="7">
        <f>IF(K359=TRUE(),E359,0)</f>
        <v>0</v>
      </c>
      <c r="J359" t="b" s="4">
        <v>0</v>
      </c>
      <c r="K359" t="b" s="4">
        <v>0</v>
      </c>
    </row>
    <row r="360" ht="17" customHeight="1">
      <c r="A360" s="4">
        <v>306</v>
      </c>
      <c r="B360" s="5">
        <v>40900</v>
      </c>
      <c r="C360" t="s" s="3">
        <v>230</v>
      </c>
      <c r="D360" t="s" s="3">
        <v>231</v>
      </c>
      <c r="E360" s="6">
        <v>330000</v>
      </c>
      <c r="F360" s="6">
        <f>E360*0.19</f>
        <v>62700</v>
      </c>
      <c r="G360" s="6">
        <f>E360+F360</f>
        <v>392700</v>
      </c>
      <c r="H360" s="7">
        <f>IF(J360=TRUE(),E360,0)</f>
        <v>0</v>
      </c>
      <c r="I360" s="7">
        <f>IF(K360=TRUE(),E360,0)</f>
        <v>0</v>
      </c>
      <c r="J360" t="b" s="4">
        <v>0</v>
      </c>
      <c r="K360" t="b" s="4">
        <v>0</v>
      </c>
    </row>
    <row r="361" ht="17" customHeight="1">
      <c r="A361" s="4">
        <v>307</v>
      </c>
      <c r="B361" s="5">
        <v>40900</v>
      </c>
      <c r="C361" t="s" s="3">
        <v>92</v>
      </c>
      <c r="D361" t="s" s="3">
        <v>23</v>
      </c>
      <c r="E361" s="6">
        <v>506115</v>
      </c>
      <c r="F361" s="6">
        <f>E361*0.19</f>
        <v>96161.850000000006</v>
      </c>
      <c r="G361" s="6">
        <f>E361+F361</f>
        <v>602276.85</v>
      </c>
      <c r="H361" s="7">
        <f>IF(J361=TRUE(),E361,0)</f>
        <v>506115</v>
      </c>
      <c r="I361" s="7">
        <f>IF(K361=TRUE(),E361,0)</f>
        <v>0</v>
      </c>
      <c r="J361" t="b" s="4">
        <v>1</v>
      </c>
      <c r="K361" t="b" s="4">
        <v>0</v>
      </c>
    </row>
    <row r="362" ht="17" customHeight="1">
      <c r="A362" s="4">
        <v>308</v>
      </c>
      <c r="B362" s="5">
        <v>40900</v>
      </c>
      <c r="C362" t="s" s="3">
        <v>98</v>
      </c>
      <c r="D362" t="s" s="3">
        <v>23</v>
      </c>
      <c r="E362" s="6">
        <v>273560</v>
      </c>
      <c r="F362" s="6">
        <f>E362*0.19</f>
        <v>51976.4</v>
      </c>
      <c r="G362" s="6">
        <f>E362+F362</f>
        <v>325536.4</v>
      </c>
      <c r="H362" s="7">
        <f>IF(J362=TRUE(),E362,0)</f>
        <v>273560</v>
      </c>
      <c r="I362" s="7">
        <f>IF(K362=TRUE(),E362,0)</f>
        <v>0</v>
      </c>
      <c r="J362" t="b" s="4">
        <v>1</v>
      </c>
      <c r="K362" t="b" s="4">
        <v>0</v>
      </c>
    </row>
    <row r="363" ht="17.5" customHeight="1">
      <c r="A363" s="9">
        <v>309</v>
      </c>
      <c r="B363" s="5">
        <v>40906</v>
      </c>
      <c r="C363" t="s" s="10">
        <v>90</v>
      </c>
      <c r="D363" t="s" s="10">
        <v>232</v>
      </c>
      <c r="E363" s="11">
        <v>382500</v>
      </c>
      <c r="F363" s="11">
        <f>E363*0.19</f>
        <v>72675</v>
      </c>
      <c r="G363" s="11">
        <f>E363+F363</f>
        <v>455175</v>
      </c>
      <c r="H363" s="12">
        <f>IF(J363=TRUE(),E363,0)</f>
        <v>0</v>
      </c>
      <c r="I363" s="12">
        <f>IF(K363=TRUE(),E363,0)</f>
        <v>0</v>
      </c>
      <c r="J363" t="b" s="9">
        <v>0</v>
      </c>
      <c r="K363" t="b" s="9">
        <v>0</v>
      </c>
    </row>
    <row r="364" ht="18" customHeight="1">
      <c r="A364" s="13">
        <f>COUNT(A335:A363)</f>
        <v>29</v>
      </c>
      <c r="B364" t="s" s="3">
        <v>233</v>
      </c>
      <c r="C364" t="s" s="14">
        <v>7</v>
      </c>
      <c r="D364" s="14"/>
      <c r="E364" s="15">
        <f>SUM(E335:E363)</f>
        <v>8179246</v>
      </c>
      <c r="F364" s="15">
        <f>SUM(F335:F363)</f>
        <v>1554056.74</v>
      </c>
      <c r="G364" s="16">
        <f>SUM(G335:G363)</f>
        <v>9733302.74</v>
      </c>
      <c r="H364" s="17">
        <f>SUM(H335:H363)</f>
        <v>3209646</v>
      </c>
      <c r="I364" s="17"/>
      <c r="J364" s="18">
        <f>COUNTIF(J335:J363,TRUE())</f>
        <v>14</v>
      </c>
      <c r="K364" s="19"/>
    </row>
    <row r="365" ht="17.5" customHeight="1">
      <c r="A365" s="20"/>
      <c r="B365" s="5"/>
      <c r="C365" s="20"/>
      <c r="D365" s="21"/>
      <c r="E365" s="20"/>
      <c r="F365" s="20"/>
      <c r="G365" s="20"/>
      <c r="H365" s="22"/>
      <c r="I365" s="22"/>
      <c r="J365" s="20"/>
      <c r="K365" s="20"/>
    </row>
    <row r="366" ht="17" customHeight="1">
      <c r="A366" t="s" s="3">
        <v>1</v>
      </c>
      <c r="B366" t="s" s="3">
        <v>2</v>
      </c>
      <c r="C366" t="s" s="3">
        <v>3</v>
      </c>
      <c r="D366" t="s" s="3">
        <v>4</v>
      </c>
      <c r="E366" t="s" s="3">
        <v>5</v>
      </c>
      <c r="F366" t="s" s="3">
        <v>6</v>
      </c>
      <c r="G366" t="s" s="3">
        <v>7</v>
      </c>
      <c r="H366" s="7"/>
      <c r="I366" s="7"/>
      <c r="J366" s="8"/>
      <c r="K366" s="8"/>
    </row>
    <row r="367" ht="17" customHeight="1">
      <c r="A367" t="s" s="3">
        <v>234</v>
      </c>
      <c r="B367" s="5">
        <v>40919</v>
      </c>
      <c r="C367" t="s" s="3">
        <v>98</v>
      </c>
      <c r="D367" s="3"/>
      <c r="E367" s="6">
        <v>-21600</v>
      </c>
      <c r="F367" s="6">
        <f>E367*0.19</f>
        <v>-4104</v>
      </c>
      <c r="G367" s="6">
        <f>E367+F367</f>
        <v>-25704</v>
      </c>
      <c r="H367" s="7">
        <f>IF(J367=TRUE(),E367,0)</f>
        <v>0</v>
      </c>
      <c r="I367" s="7">
        <f>IF(K367=TRUE(),E367,0)</f>
        <v>0</v>
      </c>
      <c r="J367" t="b" s="4">
        <v>0</v>
      </c>
      <c r="K367" t="b" s="4">
        <v>0</v>
      </c>
    </row>
    <row r="368" ht="17" customHeight="1">
      <c r="A368" s="4">
        <v>310</v>
      </c>
      <c r="B368" s="5">
        <v>40909</v>
      </c>
      <c r="C368" t="s" s="3">
        <v>22</v>
      </c>
      <c r="D368" t="s" s="3">
        <v>32</v>
      </c>
      <c r="E368" s="6">
        <v>149100</v>
      </c>
      <c r="F368" s="6">
        <f>E368*0.19</f>
        <v>28329</v>
      </c>
      <c r="G368" s="6">
        <f>E368+F368</f>
        <v>177429</v>
      </c>
      <c r="H368" s="7">
        <f>IF(J368=TRUE(),E368,0)</f>
        <v>149100</v>
      </c>
      <c r="I368" s="7">
        <f>IF(K368=TRUE(),E368,0)</f>
        <v>0</v>
      </c>
      <c r="J368" t="b" s="4">
        <v>1</v>
      </c>
      <c r="K368" t="b" s="4">
        <v>0</v>
      </c>
    </row>
    <row r="369" ht="17" customHeight="1">
      <c r="A369" s="4">
        <v>311</v>
      </c>
      <c r="B369" s="5">
        <v>40909</v>
      </c>
      <c r="C369" t="s" s="3">
        <v>56</v>
      </c>
      <c r="D369" t="s" s="3">
        <v>32</v>
      </c>
      <c r="E369" s="6">
        <v>125000</v>
      </c>
      <c r="F369" s="6">
        <f>E369*0.19</f>
        <v>23750</v>
      </c>
      <c r="G369" s="6">
        <f>E369+F369</f>
        <v>148750</v>
      </c>
      <c r="H369" s="7">
        <f>IF(J369=TRUE(),E369,0)</f>
        <v>125000</v>
      </c>
      <c r="I369" s="7">
        <f>IF(K369=TRUE(),E369,0)</f>
        <v>0</v>
      </c>
      <c r="J369" t="b" s="4">
        <v>1</v>
      </c>
      <c r="K369" t="b" s="4">
        <v>0</v>
      </c>
    </row>
    <row r="370" ht="17" customHeight="1">
      <c r="A370" s="4">
        <v>312</v>
      </c>
      <c r="B370" s="5">
        <v>40909</v>
      </c>
      <c r="C370" t="s" s="3">
        <v>42</v>
      </c>
      <c r="D370" t="s" s="3">
        <v>32</v>
      </c>
      <c r="E370" s="6">
        <v>157500</v>
      </c>
      <c r="F370" s="6">
        <f>E370*0.19</f>
        <v>29925</v>
      </c>
      <c r="G370" s="6">
        <f>E370+F370</f>
        <v>187425</v>
      </c>
      <c r="H370" s="7">
        <f>IF(J370=TRUE(),E370,0)</f>
        <v>157500</v>
      </c>
      <c r="I370" s="7">
        <f>IF(K370=TRUE(),E370,0)</f>
        <v>0</v>
      </c>
      <c r="J370" t="b" s="4">
        <v>1</v>
      </c>
      <c r="K370" t="b" s="4">
        <v>0</v>
      </c>
    </row>
    <row r="371" ht="17" customHeight="1">
      <c r="A371" s="4">
        <v>313</v>
      </c>
      <c r="B371" s="5">
        <v>40909</v>
      </c>
      <c r="C371" t="s" s="3">
        <v>34</v>
      </c>
      <c r="D371" t="s" s="3">
        <v>32</v>
      </c>
      <c r="E371" s="6">
        <v>25500</v>
      </c>
      <c r="F371" s="6">
        <f>E371*0.19</f>
        <v>4845</v>
      </c>
      <c r="G371" s="6">
        <f>E371+F371</f>
        <v>30345</v>
      </c>
      <c r="H371" s="7">
        <f>IF(J371=TRUE(),E371,0)</f>
        <v>25500</v>
      </c>
      <c r="I371" s="7">
        <f>IF(K371=TRUE(),E371,0)</f>
        <v>0</v>
      </c>
      <c r="J371" t="b" s="4">
        <v>1</v>
      </c>
      <c r="K371" t="b" s="4">
        <v>0</v>
      </c>
    </row>
    <row r="372" ht="17" customHeight="1">
      <c r="A372" s="4">
        <v>314</v>
      </c>
      <c r="B372" s="5">
        <v>40909</v>
      </c>
      <c r="C372" t="s" s="3">
        <v>60</v>
      </c>
      <c r="D372" t="s" s="3">
        <v>32</v>
      </c>
      <c r="E372" s="6">
        <v>30625</v>
      </c>
      <c r="F372" s="6">
        <f>E372*0.19</f>
        <v>5818.75</v>
      </c>
      <c r="G372" s="6">
        <f>E372+F372</f>
        <v>36443.75</v>
      </c>
      <c r="H372" s="7">
        <f>IF(J372=TRUE(),E372,0)</f>
        <v>30625</v>
      </c>
      <c r="I372" s="7">
        <f>IF(K372=TRUE(),E372,0)</f>
        <v>0</v>
      </c>
      <c r="J372" t="b" s="4">
        <v>1</v>
      </c>
      <c r="K372" t="b" s="4">
        <v>0</v>
      </c>
    </row>
    <row r="373" ht="17" customHeight="1">
      <c r="A373" s="4">
        <v>315</v>
      </c>
      <c r="B373" s="5">
        <v>40909</v>
      </c>
      <c r="C373" t="s" s="3">
        <v>40</v>
      </c>
      <c r="D373" t="s" s="3">
        <v>32</v>
      </c>
      <c r="E373" s="6">
        <v>158000</v>
      </c>
      <c r="F373" s="6">
        <f>E373*0.19</f>
        <v>30020</v>
      </c>
      <c r="G373" s="6">
        <f>E373+F373</f>
        <v>188020</v>
      </c>
      <c r="H373" s="7">
        <f>IF(J373=TRUE(),E373,0)</f>
        <v>158000</v>
      </c>
      <c r="I373" s="7">
        <f>IF(K373=TRUE(),E373,0)</f>
        <v>0</v>
      </c>
      <c r="J373" t="b" s="4">
        <v>1</v>
      </c>
      <c r="K373" t="b" s="4">
        <v>0</v>
      </c>
    </row>
    <row r="374" ht="17" customHeight="1">
      <c r="A374" s="4">
        <v>316</v>
      </c>
      <c r="B374" s="5">
        <v>40911</v>
      </c>
      <c r="C374" t="s" s="3">
        <v>43</v>
      </c>
      <c r="D374" t="s" s="3">
        <v>235</v>
      </c>
      <c r="E374" s="6">
        <v>600000</v>
      </c>
      <c r="F374" s="6">
        <f>E374*0.19</f>
        <v>114000</v>
      </c>
      <c r="G374" s="6">
        <f>E374+F374</f>
        <v>714000</v>
      </c>
      <c r="H374" s="7">
        <f>IF(J374=TRUE(),E374,0)</f>
        <v>0</v>
      </c>
      <c r="I374" s="7">
        <f>IF(K374=TRUE(),E374,0)</f>
        <v>0</v>
      </c>
      <c r="J374" t="b" s="4">
        <v>0</v>
      </c>
      <c r="K374" t="b" s="4">
        <v>0</v>
      </c>
    </row>
    <row r="375" ht="17" customHeight="1">
      <c r="A375" s="4">
        <v>317</v>
      </c>
      <c r="B375" s="5">
        <v>40912</v>
      </c>
      <c r="C375" t="s" s="3">
        <v>120</v>
      </c>
      <c r="D375" t="s" s="3">
        <v>32</v>
      </c>
      <c r="E375" s="6">
        <v>427319</v>
      </c>
      <c r="F375" s="6">
        <f>E375*0.19</f>
        <v>81190.61</v>
      </c>
      <c r="G375" s="6">
        <f>E375+F375</f>
        <v>508509.61</v>
      </c>
      <c r="H375" s="7">
        <f>IF(J375=TRUE(),E375,0)</f>
        <v>427319</v>
      </c>
      <c r="I375" s="7">
        <f>IF(K375=TRUE(),E375,0)</f>
        <v>0</v>
      </c>
      <c r="J375" t="b" s="4">
        <v>1</v>
      </c>
      <c r="K375" t="b" s="4">
        <v>0</v>
      </c>
    </row>
    <row r="376" ht="17" customHeight="1">
      <c r="A376" s="4">
        <v>318</v>
      </c>
      <c r="B376" s="5">
        <v>40912</v>
      </c>
      <c r="C376" t="s" s="3">
        <v>127</v>
      </c>
      <c r="D376" t="s" s="3">
        <v>32</v>
      </c>
      <c r="E376" s="6">
        <v>484191</v>
      </c>
      <c r="F376" s="6">
        <f>E376*0.19</f>
        <v>91996.290000000008</v>
      </c>
      <c r="G376" s="6">
        <f>E376+F376</f>
        <v>576187.29</v>
      </c>
      <c r="H376" s="7">
        <f>IF(J376=TRUE(),E376,0)</f>
        <v>484191</v>
      </c>
      <c r="I376" s="7">
        <f>IF(K376=TRUE(),E376,0)</f>
        <v>0</v>
      </c>
      <c r="J376" t="b" s="4">
        <v>1</v>
      </c>
      <c r="K376" t="b" s="4">
        <v>0</v>
      </c>
    </row>
    <row r="377" ht="17" customHeight="1">
      <c r="A377" s="4">
        <v>319</v>
      </c>
      <c r="B377" s="5">
        <v>40916</v>
      </c>
      <c r="C377" t="s" s="3">
        <v>58</v>
      </c>
      <c r="D377" t="s" s="3">
        <v>236</v>
      </c>
      <c r="E377" s="6">
        <v>225000</v>
      </c>
      <c r="F377" s="6">
        <f>E377*0.19</f>
        <v>42750</v>
      </c>
      <c r="G377" s="6">
        <f>E377+F377</f>
        <v>267750</v>
      </c>
      <c r="H377" s="7">
        <f>IF(J377=TRUE(),E377,0)</f>
        <v>0</v>
      </c>
      <c r="I377" s="7">
        <f>IF(K377=TRUE(),E377,0)</f>
        <v>0</v>
      </c>
      <c r="J377" t="b" s="4">
        <v>0</v>
      </c>
      <c r="K377" t="b" s="4">
        <v>0</v>
      </c>
    </row>
    <row r="378" ht="17" customHeight="1">
      <c r="A378" s="4">
        <v>320</v>
      </c>
      <c r="B378" s="5">
        <v>40916</v>
      </c>
      <c r="C378" t="s" s="3">
        <v>58</v>
      </c>
      <c r="D378" t="s" s="3">
        <v>237</v>
      </c>
      <c r="E378" s="6">
        <v>225000</v>
      </c>
      <c r="F378" s="6">
        <f>E378*0.19</f>
        <v>42750</v>
      </c>
      <c r="G378" s="6">
        <f>E378+F378</f>
        <v>267750</v>
      </c>
      <c r="H378" s="7">
        <f>IF(J378=TRUE(),E378,0)</f>
        <v>0</v>
      </c>
      <c r="I378" s="7">
        <f>IF(K378=TRUE(),E378,0)</f>
        <v>0</v>
      </c>
      <c r="J378" t="b" s="4">
        <v>0</v>
      </c>
      <c r="K378" t="b" s="4">
        <v>0</v>
      </c>
    </row>
    <row r="379" ht="17" customHeight="1">
      <c r="A379" s="4">
        <v>321</v>
      </c>
      <c r="B379" s="5">
        <v>40917</v>
      </c>
      <c r="C379" t="s" s="3">
        <v>66</v>
      </c>
      <c r="D379" t="s" s="3">
        <v>32</v>
      </c>
      <c r="E379" s="6">
        <v>136112</v>
      </c>
      <c r="F379" s="6">
        <f>E379*0.19</f>
        <v>25861.28</v>
      </c>
      <c r="G379" s="6">
        <f>E379+F379</f>
        <v>161973.28</v>
      </c>
      <c r="H379" s="7">
        <f>IF(J379=TRUE(),E379,0)</f>
        <v>136112</v>
      </c>
      <c r="I379" s="7">
        <f>IF(K379=TRUE(),E379,0)</f>
        <v>0</v>
      </c>
      <c r="J379" t="b" s="4">
        <v>1</v>
      </c>
      <c r="K379" t="b" s="4">
        <v>0</v>
      </c>
    </row>
    <row r="380" ht="17" customHeight="1">
      <c r="A380" s="4">
        <v>322</v>
      </c>
      <c r="B380" s="5">
        <v>40910</v>
      </c>
      <c r="C380" t="s" s="3">
        <v>90</v>
      </c>
      <c r="D380" t="s" s="3">
        <v>238</v>
      </c>
      <c r="E380" s="6">
        <v>676300</v>
      </c>
      <c r="F380" s="6">
        <f>E380*0.19</f>
        <v>128497</v>
      </c>
      <c r="G380" s="6">
        <f>E380+F380</f>
        <v>804797</v>
      </c>
      <c r="H380" s="7">
        <f>IF(J380=TRUE(),E380,0)</f>
        <v>0</v>
      </c>
      <c r="I380" s="7">
        <f>IF(K380=TRUE(),E380,0)</f>
        <v>0</v>
      </c>
      <c r="J380" t="b" s="4">
        <v>0</v>
      </c>
      <c r="K380" t="b" s="4">
        <v>0</v>
      </c>
    </row>
    <row r="381" ht="17" customHeight="1">
      <c r="A381" s="4">
        <v>323</v>
      </c>
      <c r="B381" s="5">
        <v>40924</v>
      </c>
      <c r="C381" t="s" s="3">
        <v>120</v>
      </c>
      <c r="D381" t="s" s="3">
        <v>239</v>
      </c>
      <c r="E381" s="6">
        <v>295000</v>
      </c>
      <c r="F381" s="6">
        <f>E381*0.19</f>
        <v>56050</v>
      </c>
      <c r="G381" s="6">
        <f>E381+F381</f>
        <v>351050</v>
      </c>
      <c r="H381" s="7">
        <f>IF(J381=TRUE(),E381,0)</f>
        <v>0</v>
      </c>
      <c r="I381" s="7">
        <f>IF(K381=TRUE(),E381,0)</f>
        <v>0</v>
      </c>
      <c r="J381" t="b" s="4">
        <v>0</v>
      </c>
      <c r="K381" t="b" s="4">
        <v>0</v>
      </c>
    </row>
    <row r="382" ht="17" customHeight="1">
      <c r="A382" s="4">
        <v>324</v>
      </c>
      <c r="B382" s="5">
        <v>40928</v>
      </c>
      <c r="C382" t="s" s="3">
        <v>33</v>
      </c>
      <c r="D382" t="s" s="3">
        <v>32</v>
      </c>
      <c r="E382" s="6">
        <v>80499</v>
      </c>
      <c r="F382" s="6">
        <f>E382*0.19</f>
        <v>15294.81</v>
      </c>
      <c r="G382" s="6">
        <f>E382+F382</f>
        <v>95793.81</v>
      </c>
      <c r="H382" s="7">
        <f>IF(J382=TRUE(),E382,0)</f>
        <v>80499</v>
      </c>
      <c r="I382" s="7">
        <f>IF(K382=TRUE(),E382,0)</f>
        <v>0</v>
      </c>
      <c r="J382" t="b" s="4">
        <v>1</v>
      </c>
      <c r="K382" t="b" s="4">
        <v>0</v>
      </c>
    </row>
    <row r="383" ht="17" customHeight="1">
      <c r="A383" s="4">
        <v>325</v>
      </c>
      <c r="B383" s="5">
        <v>40928</v>
      </c>
      <c r="C383" t="s" s="3">
        <v>230</v>
      </c>
      <c r="D383" t="s" s="3">
        <v>32</v>
      </c>
      <c r="E383" s="6">
        <v>22361</v>
      </c>
      <c r="F383" s="6">
        <f>E383*0.19</f>
        <v>4248.59</v>
      </c>
      <c r="G383" s="6">
        <f>E383+F383</f>
        <v>26609.59</v>
      </c>
      <c r="H383" s="7">
        <f>IF(J383=TRUE(),E383,0)</f>
        <v>22361</v>
      </c>
      <c r="I383" s="7">
        <f>IF(K383=TRUE(),E383,0)</f>
        <v>0</v>
      </c>
      <c r="J383" t="b" s="4">
        <v>1</v>
      </c>
      <c r="K383" t="b" s="4">
        <v>0</v>
      </c>
    </row>
    <row r="384" ht="17" customHeight="1">
      <c r="A384" s="4">
        <v>326</v>
      </c>
      <c r="B384" s="5">
        <v>40928</v>
      </c>
      <c r="C384" t="s" s="3">
        <v>10</v>
      </c>
      <c r="D384" t="s" s="3">
        <v>240</v>
      </c>
      <c r="E384" s="6">
        <v>2900000</v>
      </c>
      <c r="F384" s="6">
        <f>E384*0.19</f>
        <v>551000</v>
      </c>
      <c r="G384" s="6">
        <f>E384+F384</f>
        <v>3451000</v>
      </c>
      <c r="H384" s="7">
        <f>IF(J384=TRUE(),E384,0)</f>
        <v>0</v>
      </c>
      <c r="I384" s="7">
        <f>IF(K384=TRUE(),E384,0)</f>
        <v>0</v>
      </c>
      <c r="J384" t="b" s="4">
        <v>0</v>
      </c>
      <c r="K384" t="b" s="4">
        <v>0</v>
      </c>
    </row>
    <row r="385" ht="17" customHeight="1">
      <c r="A385" s="4">
        <v>327</v>
      </c>
      <c r="B385" s="5">
        <v>40933</v>
      </c>
      <c r="C385" t="s" s="3">
        <v>241</v>
      </c>
      <c r="D385" t="s" s="3">
        <v>242</v>
      </c>
      <c r="E385" s="6">
        <f>22382.43*4.83+63000</f>
        <v>171107.1369</v>
      </c>
      <c r="F385" s="6">
        <f>E385*0.19</f>
        <v>32510.356011</v>
      </c>
      <c r="G385" s="6">
        <f>E385+F385</f>
        <v>203617.492911</v>
      </c>
      <c r="H385" s="7">
        <f>IF(J385=TRUE(),E385,0)</f>
        <v>0</v>
      </c>
      <c r="I385" s="7">
        <f>IF(K385=TRUE(),E385,0)</f>
        <v>0</v>
      </c>
      <c r="J385" t="b" s="4">
        <v>0</v>
      </c>
      <c r="K385" t="b" s="4">
        <v>0</v>
      </c>
    </row>
    <row r="386" ht="17" customHeight="1">
      <c r="A386" s="4">
        <v>328</v>
      </c>
      <c r="B386" s="5">
        <v>40933</v>
      </c>
      <c r="C386" t="s" s="3">
        <v>224</v>
      </c>
      <c r="D386" t="s" s="3">
        <v>243</v>
      </c>
      <c r="E386" s="6">
        <f>5*22382.43</f>
        <v>111912.15</v>
      </c>
      <c r="F386" s="6">
        <f>E386*0.19</f>
        <v>21263.3085</v>
      </c>
      <c r="G386" s="6">
        <f>E386+F386</f>
        <v>133175.4585</v>
      </c>
      <c r="H386" s="7">
        <f>IF(J386=TRUE(),E386,0)</f>
        <v>0</v>
      </c>
      <c r="I386" s="7">
        <f>IF(K386=TRUE(),E386,0)</f>
        <v>0</v>
      </c>
      <c r="J386" t="b" s="4">
        <v>0</v>
      </c>
      <c r="K386" t="b" s="4">
        <v>0</v>
      </c>
    </row>
    <row r="387" ht="17" customHeight="1">
      <c r="A387" s="4">
        <v>329</v>
      </c>
      <c r="B387" s="5">
        <v>40938</v>
      </c>
      <c r="C387" t="s" s="3">
        <v>120</v>
      </c>
      <c r="D387" t="s" s="3">
        <v>244</v>
      </c>
      <c r="E387" s="6">
        <v>92500</v>
      </c>
      <c r="F387" s="6">
        <f>E387*0.19</f>
        <v>17575</v>
      </c>
      <c r="G387" s="6">
        <f>E387+F387</f>
        <v>110075</v>
      </c>
      <c r="H387" s="7">
        <f>IF(J387=TRUE(),E387,0)</f>
        <v>0</v>
      </c>
      <c r="I387" s="7">
        <f>IF(K387=TRUE(),E387,0)</f>
        <v>0</v>
      </c>
      <c r="J387" t="b" s="4">
        <v>0</v>
      </c>
      <c r="K387" t="b" s="4">
        <v>0</v>
      </c>
    </row>
    <row r="388" ht="17" customHeight="1">
      <c r="A388" s="4">
        <v>330</v>
      </c>
      <c r="B388" s="5">
        <v>40938</v>
      </c>
      <c r="C388" t="s" s="3">
        <v>92</v>
      </c>
      <c r="D388" t="s" s="3">
        <v>32</v>
      </c>
      <c r="E388" s="6">
        <v>506115</v>
      </c>
      <c r="F388" s="6">
        <f>E388*0.19</f>
        <v>96161.850000000006</v>
      </c>
      <c r="G388" s="6">
        <f>E388+F388</f>
        <v>602276.85</v>
      </c>
      <c r="H388" s="7">
        <f>IF(J388=TRUE(),E388,0)</f>
        <v>506115</v>
      </c>
      <c r="I388" s="7">
        <f>IF(K388=TRUE(),E388,0)</f>
        <v>0</v>
      </c>
      <c r="J388" t="b" s="4">
        <v>1</v>
      </c>
      <c r="K388" t="b" s="4">
        <v>0</v>
      </c>
    </row>
    <row r="389" ht="17" customHeight="1">
      <c r="A389" s="4">
        <v>331</v>
      </c>
      <c r="B389" s="5">
        <v>40938</v>
      </c>
      <c r="C389" t="s" s="3">
        <v>98</v>
      </c>
      <c r="D389" t="s" s="3">
        <v>32</v>
      </c>
      <c r="E389" s="6">
        <v>251960</v>
      </c>
      <c r="F389" s="6">
        <f>E389*0.19</f>
        <v>47872.4</v>
      </c>
      <c r="G389" s="6">
        <f>E389+F389</f>
        <v>299832.4</v>
      </c>
      <c r="H389" s="7">
        <f>IF(J389=TRUE(),E389,0)</f>
        <v>251960</v>
      </c>
      <c r="I389" s="7">
        <f>IF(K389=TRUE(),E389,0)</f>
        <v>0</v>
      </c>
      <c r="J389" t="b" s="4">
        <v>1</v>
      </c>
      <c r="K389" t="b" s="4">
        <v>0</v>
      </c>
    </row>
    <row r="390" ht="17.5" customHeight="1">
      <c r="A390" s="9">
        <v>332</v>
      </c>
      <c r="B390" s="5">
        <v>40939</v>
      </c>
      <c r="C390" t="s" s="10">
        <v>42</v>
      </c>
      <c r="D390" t="s" s="10">
        <v>245</v>
      </c>
      <c r="E390" s="11">
        <v>523275</v>
      </c>
      <c r="F390" s="11">
        <f>E390*0.19</f>
        <v>99422.25</v>
      </c>
      <c r="G390" s="11">
        <f>E390+F390</f>
        <v>622697.25</v>
      </c>
      <c r="H390" s="12">
        <f>IF(J390=TRUE(),E390,0)</f>
        <v>0</v>
      </c>
      <c r="I390" s="12">
        <f>IF(K390=TRUE(),E390,0)</f>
        <v>0</v>
      </c>
      <c r="J390" t="b" s="9">
        <v>0</v>
      </c>
      <c r="K390" t="b" s="9">
        <v>0</v>
      </c>
    </row>
    <row r="391" ht="18" customHeight="1">
      <c r="A391" s="13">
        <v>24</v>
      </c>
      <c r="B391" t="s" s="3">
        <v>246</v>
      </c>
      <c r="C391" t="s" s="14">
        <v>7</v>
      </c>
      <c r="D391" s="14"/>
      <c r="E391" s="15">
        <f>SUM(E367:E390)</f>
        <v>8352776.286900001</v>
      </c>
      <c r="F391" s="15">
        <f>SUM(F367:F390)</f>
        <v>1587027.494511</v>
      </c>
      <c r="G391" s="16">
        <f>SUM(G367:G390)</f>
        <v>9939803.781411</v>
      </c>
      <c r="H391" s="17">
        <f>SUM(H367:H390)</f>
        <v>2554282</v>
      </c>
      <c r="I391" s="17"/>
      <c r="J391" s="18">
        <f>COUNTIF(J367:J390,TRUE())</f>
        <v>13</v>
      </c>
      <c r="K391" s="19"/>
    </row>
    <row r="392" ht="17.5" customHeight="1">
      <c r="A392" s="20"/>
      <c r="B392" s="5"/>
      <c r="C392" s="20"/>
      <c r="D392" s="21"/>
      <c r="E392" s="20"/>
      <c r="F392" s="20"/>
      <c r="G392" s="20"/>
      <c r="H392" s="22"/>
      <c r="I392" s="22"/>
      <c r="J392" s="20"/>
      <c r="K392" s="20"/>
    </row>
    <row r="393" ht="17" customHeight="1">
      <c r="A393" t="s" s="3">
        <v>1</v>
      </c>
      <c r="B393" t="s" s="3">
        <v>2</v>
      </c>
      <c r="C393" t="s" s="3">
        <v>3</v>
      </c>
      <c r="D393" t="s" s="3">
        <v>4</v>
      </c>
      <c r="E393" t="s" s="3">
        <v>5</v>
      </c>
      <c r="F393" t="s" s="3">
        <v>6</v>
      </c>
      <c r="G393" t="s" s="3">
        <v>7</v>
      </c>
      <c r="H393" s="7"/>
      <c r="I393" s="7"/>
      <c r="J393" s="8"/>
      <c r="K393" s="8"/>
    </row>
    <row r="394" ht="17" customHeight="1">
      <c r="A394" s="4">
        <v>333</v>
      </c>
      <c r="B394" s="5">
        <v>40940</v>
      </c>
      <c r="C394" t="s" s="3">
        <v>22</v>
      </c>
      <c r="D394" t="s" s="3">
        <v>52</v>
      </c>
      <c r="E394" s="6">
        <v>149100</v>
      </c>
      <c r="F394" s="6">
        <f>E394*0.19</f>
        <v>28329</v>
      </c>
      <c r="G394" s="6">
        <f>E394+F394</f>
        <v>177429</v>
      </c>
      <c r="H394" s="7">
        <f>IF(J394=TRUE(),E394,0)</f>
        <v>149100</v>
      </c>
      <c r="I394" s="7">
        <f>IF(K394=TRUE(),E394,0)</f>
        <v>0</v>
      </c>
      <c r="J394" t="b" s="4">
        <v>1</v>
      </c>
      <c r="K394" t="b" s="4">
        <v>0</v>
      </c>
    </row>
    <row r="395" ht="17" customHeight="1">
      <c r="A395" s="4">
        <v>334</v>
      </c>
      <c r="B395" s="5">
        <v>40940</v>
      </c>
      <c r="C395" t="s" s="3">
        <v>56</v>
      </c>
      <c r="D395" t="s" s="3">
        <v>52</v>
      </c>
      <c r="E395" s="6">
        <v>125000</v>
      </c>
      <c r="F395" s="6">
        <f>E395*0.19</f>
        <v>23750</v>
      </c>
      <c r="G395" s="6">
        <f>E395+F395</f>
        <v>148750</v>
      </c>
      <c r="H395" s="7">
        <f>IF(J395=TRUE(),E395,0)</f>
        <v>125000</v>
      </c>
      <c r="I395" s="7">
        <f>IF(K395=TRUE(),E395,0)</f>
        <v>0</v>
      </c>
      <c r="J395" t="b" s="4">
        <v>1</v>
      </c>
      <c r="K395" t="b" s="4">
        <v>0</v>
      </c>
    </row>
    <row r="396" ht="17" customHeight="1">
      <c r="A396" s="4">
        <v>335</v>
      </c>
      <c r="B396" s="5">
        <v>40940</v>
      </c>
      <c r="C396" t="s" s="3">
        <v>42</v>
      </c>
      <c r="D396" t="s" s="3">
        <v>52</v>
      </c>
      <c r="E396" s="6">
        <v>157500</v>
      </c>
      <c r="F396" s="6">
        <f>E396*0.19</f>
        <v>29925</v>
      </c>
      <c r="G396" s="6">
        <f>E396+F396</f>
        <v>187425</v>
      </c>
      <c r="H396" s="7">
        <f>IF(J396=TRUE(),E396,0)</f>
        <v>157500</v>
      </c>
      <c r="I396" s="7">
        <f>IF(K396=TRUE(),E396,0)</f>
        <v>0</v>
      </c>
      <c r="J396" t="b" s="4">
        <v>1</v>
      </c>
      <c r="K396" t="b" s="4">
        <v>0</v>
      </c>
    </row>
    <row r="397" ht="17" customHeight="1">
      <c r="A397" s="4">
        <v>336</v>
      </c>
      <c r="B397" s="5">
        <v>40940</v>
      </c>
      <c r="C397" t="s" s="3">
        <v>34</v>
      </c>
      <c r="D397" t="s" s="3">
        <v>52</v>
      </c>
      <c r="E397" s="6">
        <v>25500</v>
      </c>
      <c r="F397" s="6">
        <f>E397*0.19</f>
        <v>4845</v>
      </c>
      <c r="G397" s="6">
        <f>E397+F397</f>
        <v>30345</v>
      </c>
      <c r="H397" s="7">
        <f>IF(J397=TRUE(),E397,0)</f>
        <v>25500</v>
      </c>
      <c r="I397" s="7">
        <f>IF(K397=TRUE(),E397,0)</f>
        <v>0</v>
      </c>
      <c r="J397" t="b" s="4">
        <v>1</v>
      </c>
      <c r="K397" t="b" s="4">
        <v>0</v>
      </c>
    </row>
    <row r="398" ht="17" customHeight="1">
      <c r="A398" s="4">
        <v>337</v>
      </c>
      <c r="B398" s="5">
        <v>40940</v>
      </c>
      <c r="C398" t="s" s="3">
        <v>60</v>
      </c>
      <c r="D398" t="s" s="3">
        <v>52</v>
      </c>
      <c r="E398" s="6">
        <v>30625</v>
      </c>
      <c r="F398" s="6">
        <f>E398*0.19</f>
        <v>5818.75</v>
      </c>
      <c r="G398" s="6">
        <f>E398+F398</f>
        <v>36443.75</v>
      </c>
      <c r="H398" s="7">
        <f>IF(J398=TRUE(),E398,0)</f>
        <v>30625</v>
      </c>
      <c r="I398" s="7">
        <f>IF(K398=TRUE(),E398,0)</f>
        <v>0</v>
      </c>
      <c r="J398" t="b" s="4">
        <v>1</v>
      </c>
      <c r="K398" t="b" s="4">
        <v>0</v>
      </c>
    </row>
    <row r="399" ht="17" customHeight="1">
      <c r="A399" s="4">
        <v>338</v>
      </c>
      <c r="B399" s="5">
        <v>40940</v>
      </c>
      <c r="C399" t="s" s="3">
        <v>40</v>
      </c>
      <c r="D399" t="s" s="3">
        <v>52</v>
      </c>
      <c r="E399" s="6">
        <v>158000</v>
      </c>
      <c r="F399" s="6">
        <f>E399*0.19</f>
        <v>30020</v>
      </c>
      <c r="G399" s="6">
        <f>E399+F399</f>
        <v>188020</v>
      </c>
      <c r="H399" s="7">
        <f>IF(J399=TRUE(),E399,0)</f>
        <v>158000</v>
      </c>
      <c r="I399" s="7">
        <f>IF(K399=TRUE(),E399,0)</f>
        <v>0</v>
      </c>
      <c r="J399" t="b" s="4">
        <v>1</v>
      </c>
      <c r="K399" t="b" s="4">
        <v>0</v>
      </c>
    </row>
    <row r="400" ht="17" customHeight="1">
      <c r="A400" s="4">
        <v>339</v>
      </c>
      <c r="B400" s="5">
        <v>40940</v>
      </c>
      <c r="C400" t="s" s="3">
        <v>120</v>
      </c>
      <c r="D400" t="s" s="3">
        <v>52</v>
      </c>
      <c r="E400" s="6">
        <f>19.16*22412.68</f>
        <v>429426.9488</v>
      </c>
      <c r="F400" s="6">
        <f>E400*0.19</f>
        <v>81591.120272</v>
      </c>
      <c r="G400" s="6">
        <f>E400+F400</f>
        <v>511018.069072</v>
      </c>
      <c r="H400" s="7">
        <f>IF(J400=TRUE(),E400,0)</f>
        <v>429426.9488</v>
      </c>
      <c r="I400" s="7">
        <f>IF(K400=TRUE(),E400,0)</f>
        <v>0</v>
      </c>
      <c r="J400" t="b" s="4">
        <v>1</v>
      </c>
      <c r="K400" t="b" s="4">
        <v>0</v>
      </c>
    </row>
    <row r="401" ht="17" customHeight="1">
      <c r="A401" s="4">
        <v>340</v>
      </c>
      <c r="B401" s="5">
        <v>40940</v>
      </c>
      <c r="C401" t="s" s="3">
        <v>127</v>
      </c>
      <c r="D401" t="s" s="3">
        <v>52</v>
      </c>
      <c r="E401" s="6">
        <f>21.71*22412.68</f>
        <v>486579.2828</v>
      </c>
      <c r="F401" s="6">
        <f>E401*0.19</f>
        <v>92450.063732000010</v>
      </c>
      <c r="G401" s="6">
        <f>E401+F401</f>
        <v>579029.346532</v>
      </c>
      <c r="H401" s="7">
        <f>IF(J401=TRUE(),E401,0)</f>
        <v>486579.2828</v>
      </c>
      <c r="I401" s="7">
        <f>IF(K401=TRUE(),E401,0)</f>
        <v>0</v>
      </c>
      <c r="J401" t="b" s="4">
        <v>1</v>
      </c>
      <c r="K401" t="b" s="4">
        <v>0</v>
      </c>
    </row>
    <row r="402" ht="17" customHeight="1">
      <c r="A402" s="4">
        <v>341</v>
      </c>
      <c r="B402" s="5">
        <v>40940</v>
      </c>
      <c r="C402" t="s" s="3">
        <v>66</v>
      </c>
      <c r="D402" t="s" s="3">
        <v>52</v>
      </c>
      <c r="E402" s="6">
        <f>6.1*22412.6</f>
        <v>136716.86</v>
      </c>
      <c r="F402" s="6">
        <f>E402*0.19</f>
        <v>25976.2034</v>
      </c>
      <c r="G402" s="6">
        <f>E402+F402</f>
        <v>162693.0634</v>
      </c>
      <c r="H402" s="7">
        <f>IF(J402=TRUE(),E402,0)</f>
        <v>136716.86</v>
      </c>
      <c r="I402" s="7">
        <f>IF(K402=TRUE(),E402,0)</f>
        <v>0</v>
      </c>
      <c r="J402" t="b" s="4">
        <v>1</v>
      </c>
      <c r="K402" t="b" s="4">
        <v>0</v>
      </c>
    </row>
    <row r="403" ht="17" customHeight="1">
      <c r="A403" s="4">
        <v>342</v>
      </c>
      <c r="B403" s="5">
        <v>40940</v>
      </c>
      <c r="C403" t="s" s="3">
        <v>230</v>
      </c>
      <c r="D403" t="s" s="3">
        <v>52</v>
      </c>
      <c r="E403" s="6">
        <f>9*22412.68</f>
        <v>201714.12</v>
      </c>
      <c r="F403" s="6">
        <f>E403*0.19</f>
        <v>38325.6828</v>
      </c>
      <c r="G403" s="6">
        <f>E403+F403</f>
        <v>240039.8028</v>
      </c>
      <c r="H403" s="7">
        <f>IF(J403=TRUE(),E403,0)</f>
        <v>201714.12</v>
      </c>
      <c r="I403" s="7">
        <f>IF(K403=TRUE(),E403,0)</f>
        <v>0</v>
      </c>
      <c r="J403" t="b" s="4">
        <v>1</v>
      </c>
      <c r="K403" t="b" s="4">
        <v>0</v>
      </c>
    </row>
    <row r="404" ht="17" customHeight="1">
      <c r="A404" s="4">
        <v>343</v>
      </c>
      <c r="B404" s="5">
        <v>40940</v>
      </c>
      <c r="C404" t="s" s="3">
        <v>241</v>
      </c>
      <c r="D404" t="s" s="3">
        <v>52</v>
      </c>
      <c r="E404" s="6">
        <f>4.83*22412.68</f>
        <v>108253.2444</v>
      </c>
      <c r="F404" s="6">
        <f>E404*0.19</f>
        <v>20568.116436</v>
      </c>
      <c r="G404" s="6">
        <f>E404+F404</f>
        <v>128821.360836</v>
      </c>
      <c r="H404" s="7">
        <f>IF(J404=TRUE(),E404,0)</f>
        <v>108253.2444</v>
      </c>
      <c r="I404" s="7">
        <f>IF(K404=TRUE(),E404,0)</f>
        <v>0</v>
      </c>
      <c r="J404" t="b" s="4">
        <v>1</v>
      </c>
      <c r="K404" t="b" s="4">
        <v>0</v>
      </c>
    </row>
    <row r="405" ht="17" customHeight="1">
      <c r="A405" s="4">
        <v>344</v>
      </c>
      <c r="B405" s="5">
        <v>40940</v>
      </c>
      <c r="C405" t="s" s="3">
        <v>224</v>
      </c>
      <c r="D405" t="s" s="3">
        <v>52</v>
      </c>
      <c r="E405" s="6">
        <f>2.08*22382</f>
        <v>46554.56</v>
      </c>
      <c r="F405" s="6">
        <f>E405*0.19</f>
        <v>8845.366400000001</v>
      </c>
      <c r="G405" s="6">
        <f>E405+F405</f>
        <v>55399.9264</v>
      </c>
      <c r="H405" s="7">
        <f>IF(J405=TRUE(),E405,0)</f>
        <v>46554.56</v>
      </c>
      <c r="I405" s="7">
        <f>IF(K405=TRUE(),E405,0)</f>
        <v>0</v>
      </c>
      <c r="J405" t="b" s="4">
        <v>1</v>
      </c>
      <c r="K405" t="b" s="4">
        <v>0</v>
      </c>
    </row>
    <row r="406" ht="17" customHeight="1">
      <c r="A406" t="s" s="3">
        <v>247</v>
      </c>
      <c r="B406" s="5">
        <v>41029</v>
      </c>
      <c r="C406" t="s" s="3">
        <v>224</v>
      </c>
      <c r="D406" s="3"/>
      <c r="E406" s="6">
        <v>-46555</v>
      </c>
      <c r="F406" s="6">
        <f>E406*0.19</f>
        <v>-8845.450000000001</v>
      </c>
      <c r="G406" s="6">
        <f>E406+F406</f>
        <v>-55400.45</v>
      </c>
      <c r="H406" s="7">
        <f>IF(J406=TRUE(),E406,0)</f>
        <v>-46555</v>
      </c>
      <c r="I406" s="7">
        <f>IF(K406=TRUE(),E406,0)</f>
        <v>0</v>
      </c>
      <c r="J406" t="b" s="4">
        <v>1</v>
      </c>
      <c r="K406" t="b" s="4">
        <v>0</v>
      </c>
    </row>
    <row r="407" ht="17" customHeight="1">
      <c r="A407" s="4">
        <v>345</v>
      </c>
      <c r="B407" s="5">
        <v>40947</v>
      </c>
      <c r="C407" t="s" s="3">
        <v>36</v>
      </c>
      <c r="D407" t="s" s="3">
        <v>52</v>
      </c>
      <c r="E407" s="6">
        <f>5.95*22442.98</f>
        <v>133535.731</v>
      </c>
      <c r="F407" s="6">
        <f>E407*0.19</f>
        <v>25371.78889</v>
      </c>
      <c r="G407" s="6">
        <f>E407+F407</f>
        <v>158907.51989</v>
      </c>
      <c r="H407" s="7">
        <f>IF(J407=TRUE(),E407,0)</f>
        <v>133535.731</v>
      </c>
      <c r="I407" s="7">
        <f>IF(K407=TRUE(),E407,0)</f>
        <v>0</v>
      </c>
      <c r="J407" t="b" s="4">
        <v>1</v>
      </c>
      <c r="K407" t="b" s="4">
        <v>0</v>
      </c>
    </row>
    <row r="408" ht="17" customHeight="1">
      <c r="A408" s="4">
        <v>346</v>
      </c>
      <c r="B408" s="5">
        <v>40956</v>
      </c>
      <c r="C408" t="s" s="3">
        <v>92</v>
      </c>
      <c r="D408" t="s" s="3">
        <v>248</v>
      </c>
      <c r="E408" s="6">
        <v>418050</v>
      </c>
      <c r="F408" s="6">
        <f>E408*0.19</f>
        <v>79429.5</v>
      </c>
      <c r="G408" s="6">
        <f>E408+F408</f>
        <v>497479.5</v>
      </c>
      <c r="H408" s="7">
        <f>IF(J408=TRUE(),E408,0)</f>
        <v>0</v>
      </c>
      <c r="I408" s="7">
        <f>IF(K408=TRUE(),E408,0)</f>
        <v>0</v>
      </c>
      <c r="J408" t="b" s="4">
        <v>0</v>
      </c>
      <c r="K408" t="b" s="4">
        <v>0</v>
      </c>
    </row>
    <row r="409" ht="17" customHeight="1">
      <c r="A409" s="4">
        <v>347</v>
      </c>
      <c r="B409" s="5">
        <v>40956</v>
      </c>
      <c r="C409" t="s" s="3">
        <v>249</v>
      </c>
      <c r="D409" t="s" s="3">
        <v>250</v>
      </c>
      <c r="E409" s="6">
        <v>40000</v>
      </c>
      <c r="F409" s="6">
        <f>E409*0.19</f>
        <v>7600</v>
      </c>
      <c r="G409" s="6">
        <f>E409+F409</f>
        <v>47600</v>
      </c>
      <c r="H409" s="7">
        <f>IF(J409=TRUE(),E409,0)</f>
        <v>0</v>
      </c>
      <c r="I409" s="7">
        <f>IF(K409=TRUE(),E409,0)</f>
        <v>0</v>
      </c>
      <c r="J409" t="b" s="4">
        <v>0</v>
      </c>
      <c r="K409" t="b" s="4">
        <v>0</v>
      </c>
    </row>
    <row r="410" ht="17" customHeight="1">
      <c r="A410" s="4">
        <v>348</v>
      </c>
      <c r="B410" s="5">
        <v>40962</v>
      </c>
      <c r="C410" t="s" s="3">
        <v>251</v>
      </c>
      <c r="D410" t="s" s="3">
        <v>252</v>
      </c>
      <c r="E410" s="6">
        <v>612000</v>
      </c>
      <c r="F410" s="6">
        <f>E410*0.19</f>
        <v>116280</v>
      </c>
      <c r="G410" s="6">
        <f>E410+F410</f>
        <v>728280</v>
      </c>
      <c r="H410" s="7">
        <f>IF(J410=TRUE(),E410,0)</f>
        <v>0</v>
      </c>
      <c r="I410" s="7">
        <f>IF(K410=TRUE(),E410,0)</f>
        <v>0</v>
      </c>
      <c r="J410" t="b" s="4">
        <v>0</v>
      </c>
      <c r="K410" t="b" s="4">
        <v>0</v>
      </c>
    </row>
    <row r="411" ht="17" customHeight="1">
      <c r="A411" s="4">
        <v>349</v>
      </c>
      <c r="B411" s="5">
        <v>40963</v>
      </c>
      <c r="C411" t="s" s="3">
        <v>253</v>
      </c>
      <c r="D411" t="s" s="3">
        <v>254</v>
      </c>
      <c r="E411" s="6">
        <v>3851250</v>
      </c>
      <c r="F411" s="6">
        <f>E411*0.19</f>
        <v>731737.5</v>
      </c>
      <c r="G411" s="6">
        <f>E411+F411</f>
        <v>4582987.5</v>
      </c>
      <c r="H411" s="7">
        <f>IF(J411=TRUE(),E411,0)</f>
        <v>0</v>
      </c>
      <c r="I411" s="7">
        <f>IF(K411=TRUE(),E411,0)</f>
        <v>0</v>
      </c>
      <c r="J411" t="b" s="4">
        <v>0</v>
      </c>
      <c r="K411" t="b" s="4">
        <v>0</v>
      </c>
    </row>
    <row r="412" ht="17" customHeight="1">
      <c r="A412" s="4">
        <v>350</v>
      </c>
      <c r="B412" s="5">
        <v>40953</v>
      </c>
      <c r="C412" t="s" s="3">
        <v>255</v>
      </c>
      <c r="D412" t="s" s="3">
        <v>256</v>
      </c>
      <c r="E412" s="6">
        <v>2707420</v>
      </c>
      <c r="F412" s="6">
        <f>E412*0.19</f>
        <v>514409.8</v>
      </c>
      <c r="G412" s="6">
        <f>E412+F412</f>
        <v>3221829.8</v>
      </c>
      <c r="H412" s="7">
        <f>IF(J412=TRUE(),E412,0)</f>
        <v>0</v>
      </c>
      <c r="I412" s="7">
        <f>IF(K412=TRUE(),E412,0)</f>
        <v>0</v>
      </c>
      <c r="J412" t="b" s="4">
        <v>0</v>
      </c>
      <c r="K412" t="b" s="4">
        <v>0</v>
      </c>
    </row>
    <row r="413" ht="17" customHeight="1">
      <c r="A413" s="8"/>
      <c r="B413" s="5"/>
      <c r="C413" t="s" s="3">
        <v>257</v>
      </c>
      <c r="D413" s="3"/>
      <c r="E413" s="8"/>
      <c r="F413" s="8"/>
      <c r="G413" s="8"/>
      <c r="H413" s="7">
        <f>IF(J413=TRUE(),E413,0)</f>
        <v>0</v>
      </c>
      <c r="I413" s="7">
        <f>IF(K413=TRUE(),E413,0)</f>
        <v>0</v>
      </c>
      <c r="J413" t="b" s="4">
        <v>0</v>
      </c>
      <c r="K413" t="b" s="4">
        <v>0</v>
      </c>
    </row>
    <row r="414" ht="17" customHeight="1">
      <c r="A414" s="4">
        <v>352</v>
      </c>
      <c r="B414" s="5">
        <v>40959</v>
      </c>
      <c r="C414" t="s" s="3">
        <v>33</v>
      </c>
      <c r="D414" t="s" s="3">
        <v>258</v>
      </c>
      <c r="E414" s="6">
        <v>533000</v>
      </c>
      <c r="F414" s="6">
        <f>E414*0.19</f>
        <v>101270</v>
      </c>
      <c r="G414" s="6">
        <f>E414+F414</f>
        <v>634270</v>
      </c>
      <c r="H414" s="7">
        <f>IF(J414=TRUE(),E414,0)</f>
        <v>0</v>
      </c>
      <c r="I414" s="7">
        <f>IF(K414=TRUE(),E414,0)</f>
        <v>0</v>
      </c>
      <c r="J414" t="b" s="4">
        <v>0</v>
      </c>
      <c r="K414" t="b" s="4">
        <v>0</v>
      </c>
    </row>
    <row r="415" ht="17.5" customHeight="1">
      <c r="A415" s="9">
        <v>353</v>
      </c>
      <c r="B415" s="5">
        <v>40967</v>
      </c>
      <c r="C415" t="s" s="10">
        <v>33</v>
      </c>
      <c r="D415" t="s" s="10">
        <v>259</v>
      </c>
      <c r="E415" s="11">
        <v>192000</v>
      </c>
      <c r="F415" s="11">
        <f>E415*0.19</f>
        <v>36480</v>
      </c>
      <c r="G415" s="11">
        <f>E415+F415</f>
        <v>228480</v>
      </c>
      <c r="H415" s="12">
        <f>IF(J415=TRUE(),E415,0)</f>
        <v>0</v>
      </c>
      <c r="I415" s="12">
        <f>IF(K415=TRUE(),E415,0)</f>
        <v>0</v>
      </c>
      <c r="J415" t="b" s="9">
        <v>0</v>
      </c>
      <c r="K415" t="b" s="9">
        <v>0</v>
      </c>
    </row>
    <row r="416" ht="18" customHeight="1">
      <c r="A416" s="13">
        <v>21</v>
      </c>
      <c r="B416" t="s" s="3">
        <v>260</v>
      </c>
      <c r="C416" t="s" s="14">
        <v>7</v>
      </c>
      <c r="D416" s="14"/>
      <c r="E416" s="15">
        <f>SUM(E394:E415)</f>
        <v>10495670.747</v>
      </c>
      <c r="F416" s="15">
        <f>SUM(F394:F415)</f>
        <v>1994177.44193</v>
      </c>
      <c r="G416" s="16">
        <f>SUM(G394:G415)</f>
        <v>12489848.18893</v>
      </c>
      <c r="H416" s="17">
        <f>SUM(H394:H415)</f>
        <v>2141950.747</v>
      </c>
      <c r="I416" s="17"/>
      <c r="J416" s="18">
        <f>COUNTIF(J394:J415,TRUE())</f>
        <v>14</v>
      </c>
      <c r="K416" s="19"/>
    </row>
    <row r="417" ht="17.5" customHeight="1">
      <c r="A417" s="20"/>
      <c r="B417" s="5"/>
      <c r="C417" s="20"/>
      <c r="D417" s="21"/>
      <c r="E417" s="20"/>
      <c r="F417" s="20"/>
      <c r="G417" s="20"/>
      <c r="H417" s="22"/>
      <c r="I417" s="22"/>
      <c r="J417" s="20"/>
      <c r="K417" s="20"/>
    </row>
    <row r="418" ht="17" customHeight="1">
      <c r="A418" t="s" s="3">
        <v>1</v>
      </c>
      <c r="B418" t="s" s="3">
        <v>2</v>
      </c>
      <c r="C418" t="s" s="3">
        <v>3</v>
      </c>
      <c r="D418" t="s" s="3">
        <v>4</v>
      </c>
      <c r="E418" t="s" s="3">
        <v>5</v>
      </c>
      <c r="F418" t="s" s="3">
        <v>6</v>
      </c>
      <c r="G418" t="s" s="3">
        <v>7</v>
      </c>
      <c r="H418" s="7"/>
      <c r="I418" s="7"/>
      <c r="J418" s="8"/>
      <c r="K418" s="8"/>
    </row>
    <row r="419" ht="17" customHeight="1">
      <c r="A419" s="4">
        <v>354</v>
      </c>
      <c r="B419" s="5">
        <v>40969</v>
      </c>
      <c r="C419" t="s" s="3">
        <v>216</v>
      </c>
      <c r="D419" t="s" s="3">
        <v>261</v>
      </c>
      <c r="E419" s="6">
        <v>263400</v>
      </c>
      <c r="F419" s="6">
        <f>E419*0.19</f>
        <v>50046</v>
      </c>
      <c r="G419" s="6">
        <f>E419+F419</f>
        <v>313446</v>
      </c>
      <c r="H419" s="7">
        <f>IF(J419=TRUE(),E419,0)</f>
        <v>0</v>
      </c>
      <c r="I419" s="7">
        <f>IF(K419=TRUE(),E419,0)</f>
        <v>0</v>
      </c>
      <c r="J419" t="b" s="4">
        <v>0</v>
      </c>
      <c r="K419" t="b" s="4">
        <v>0</v>
      </c>
    </row>
    <row r="420" ht="17" customHeight="1">
      <c r="A420" s="4">
        <v>355</v>
      </c>
      <c r="B420" s="5">
        <v>40969</v>
      </c>
      <c r="C420" t="s" s="3">
        <v>216</v>
      </c>
      <c r="D420" t="s" s="3">
        <v>262</v>
      </c>
      <c r="E420" s="6">
        <v>877675</v>
      </c>
      <c r="F420" s="6">
        <f>E420*0.19</f>
        <v>166758.25</v>
      </c>
      <c r="G420" s="6">
        <f>E420+F420</f>
        <v>1044433.25</v>
      </c>
      <c r="H420" s="7">
        <f>IF(J420=TRUE(),E420,0)</f>
        <v>0</v>
      </c>
      <c r="I420" s="7">
        <f>IF(K420=TRUE(),E420,0)</f>
        <v>0</v>
      </c>
      <c r="J420" t="b" s="4">
        <v>0</v>
      </c>
      <c r="K420" t="b" s="4">
        <v>0</v>
      </c>
    </row>
    <row r="421" ht="17" customHeight="1">
      <c r="A421" t="s" s="3">
        <v>263</v>
      </c>
      <c r="B421" s="5">
        <v>41149</v>
      </c>
      <c r="C421" t="s" s="3">
        <v>216</v>
      </c>
      <c r="D421" t="s" s="3">
        <v>262</v>
      </c>
      <c r="E421" s="6">
        <v>-877675</v>
      </c>
      <c r="F421" s="6">
        <f>E421*0.19</f>
        <v>-166758.25</v>
      </c>
      <c r="G421" s="6">
        <f>E421+F421</f>
        <v>-1044433.25</v>
      </c>
      <c r="H421" s="7">
        <f>IF(J421=TRUE(),E421,0)</f>
        <v>0</v>
      </c>
      <c r="I421" s="7">
        <f>IF(K421=TRUE(),E421,0)</f>
        <v>0</v>
      </c>
      <c r="J421" t="b" s="4">
        <v>0</v>
      </c>
      <c r="K421" t="b" s="4">
        <v>0</v>
      </c>
    </row>
    <row r="422" ht="17" customHeight="1">
      <c r="A422" s="4">
        <v>356</v>
      </c>
      <c r="B422" s="5">
        <v>40969</v>
      </c>
      <c r="C422" t="s" s="3">
        <v>253</v>
      </c>
      <c r="D422" t="s" s="3">
        <v>264</v>
      </c>
      <c r="E422" s="6">
        <v>358000</v>
      </c>
      <c r="F422" s="6">
        <f>E422*0.19</f>
        <v>68020</v>
      </c>
      <c r="G422" s="6">
        <f>E422+F422</f>
        <v>426020</v>
      </c>
      <c r="H422" s="7">
        <f>IF(J422=TRUE(),E422,0)</f>
        <v>0</v>
      </c>
      <c r="I422" s="7">
        <f>IF(K422=TRUE(),E422,0)</f>
        <v>0</v>
      </c>
      <c r="J422" t="b" s="4">
        <v>0</v>
      </c>
      <c r="K422" t="b" s="4">
        <v>0</v>
      </c>
    </row>
    <row r="423" ht="17" customHeight="1">
      <c r="A423" s="4">
        <v>357</v>
      </c>
      <c r="B423" s="5">
        <v>40969</v>
      </c>
      <c r="C423" t="s" s="3">
        <v>22</v>
      </c>
      <c r="D423" t="s" s="3">
        <v>70</v>
      </c>
      <c r="E423" s="6">
        <v>149100</v>
      </c>
      <c r="F423" s="6">
        <f>E423*0.19</f>
        <v>28329</v>
      </c>
      <c r="G423" s="6">
        <f>E423+F423</f>
        <v>177429</v>
      </c>
      <c r="H423" s="7">
        <f>IF(J423=TRUE(),E423,0)</f>
        <v>149100</v>
      </c>
      <c r="I423" s="7">
        <f>IF(K423=TRUE(),E423,0)</f>
        <v>0</v>
      </c>
      <c r="J423" t="b" s="4">
        <v>1</v>
      </c>
      <c r="K423" t="b" s="4">
        <v>0</v>
      </c>
    </row>
    <row r="424" ht="17" customHeight="1">
      <c r="A424" s="4">
        <v>358</v>
      </c>
      <c r="B424" s="5">
        <v>40969</v>
      </c>
      <c r="C424" t="s" s="3">
        <v>56</v>
      </c>
      <c r="D424" t="s" s="3">
        <v>70</v>
      </c>
      <c r="E424" s="6">
        <v>125000</v>
      </c>
      <c r="F424" s="6">
        <f>E424*0.19</f>
        <v>23750</v>
      </c>
      <c r="G424" s="6">
        <f>E424+F424</f>
        <v>148750</v>
      </c>
      <c r="H424" s="7">
        <f>IF(J424=TRUE(),E424,0)</f>
        <v>125000</v>
      </c>
      <c r="I424" s="7">
        <f>IF(K424=TRUE(),E424,0)</f>
        <v>0</v>
      </c>
      <c r="J424" t="b" s="4">
        <v>1</v>
      </c>
      <c r="K424" t="b" s="4">
        <v>0</v>
      </c>
    </row>
    <row r="425" ht="17" customHeight="1">
      <c r="A425" s="4">
        <v>359</v>
      </c>
      <c r="B425" s="5">
        <v>40969</v>
      </c>
      <c r="C425" t="s" s="3">
        <v>42</v>
      </c>
      <c r="D425" t="s" s="3">
        <v>70</v>
      </c>
      <c r="E425" s="6">
        <v>157500</v>
      </c>
      <c r="F425" s="6">
        <f>E425*0.19</f>
        <v>29925</v>
      </c>
      <c r="G425" s="6">
        <f>E425+F425</f>
        <v>187425</v>
      </c>
      <c r="H425" s="7">
        <f>IF(J425=TRUE(),E425,0)</f>
        <v>157500</v>
      </c>
      <c r="I425" s="7">
        <f>IF(K425=TRUE(),E425,0)</f>
        <v>0</v>
      </c>
      <c r="J425" t="b" s="4">
        <v>1</v>
      </c>
      <c r="K425" t="b" s="4">
        <v>0</v>
      </c>
    </row>
    <row r="426" ht="17" customHeight="1">
      <c r="A426" s="4">
        <v>360</v>
      </c>
      <c r="B426" s="5">
        <v>40969</v>
      </c>
      <c r="C426" t="s" s="3">
        <v>34</v>
      </c>
      <c r="D426" t="s" s="3">
        <v>70</v>
      </c>
      <c r="E426" s="6">
        <v>25500</v>
      </c>
      <c r="F426" s="6">
        <f>E426*0.19</f>
        <v>4845</v>
      </c>
      <c r="G426" s="6">
        <f>E426+F426</f>
        <v>30345</v>
      </c>
      <c r="H426" s="7">
        <f>IF(J426=TRUE(),E426,0)</f>
        <v>25500</v>
      </c>
      <c r="I426" s="7">
        <f>IF(K426=TRUE(),E426,0)</f>
        <v>0</v>
      </c>
      <c r="J426" t="b" s="4">
        <v>1</v>
      </c>
      <c r="K426" t="b" s="4">
        <v>0</v>
      </c>
    </row>
    <row r="427" ht="17" customHeight="1">
      <c r="A427" s="4">
        <v>361</v>
      </c>
      <c r="B427" s="5">
        <v>40969</v>
      </c>
      <c r="C427" t="s" s="3">
        <v>60</v>
      </c>
      <c r="D427" t="s" s="3">
        <v>70</v>
      </c>
      <c r="E427" s="6">
        <v>30625</v>
      </c>
      <c r="F427" s="6">
        <f>E427*0.19</f>
        <v>5818.75</v>
      </c>
      <c r="G427" s="6">
        <f>E427+F427</f>
        <v>36443.75</v>
      </c>
      <c r="H427" s="7">
        <f>IF(J427=TRUE(),E427,0)</f>
        <v>30625</v>
      </c>
      <c r="I427" s="7">
        <f>IF(K427=TRUE(),E427,0)</f>
        <v>0</v>
      </c>
      <c r="J427" t="b" s="4">
        <v>1</v>
      </c>
      <c r="K427" t="b" s="4">
        <v>0</v>
      </c>
    </row>
    <row r="428" ht="17" customHeight="1">
      <c r="A428" s="4">
        <v>362</v>
      </c>
      <c r="B428" s="5">
        <v>40969</v>
      </c>
      <c r="C428" t="s" s="3">
        <v>40</v>
      </c>
      <c r="D428" t="s" s="3">
        <v>70</v>
      </c>
      <c r="E428" s="6">
        <v>158000</v>
      </c>
      <c r="F428" s="6">
        <f>E428*0.19</f>
        <v>30020</v>
      </c>
      <c r="G428" s="6">
        <f>E428+F428</f>
        <v>188020</v>
      </c>
      <c r="H428" s="7">
        <f>IF(J428=TRUE(),E428,0)</f>
        <v>158000</v>
      </c>
      <c r="I428" s="7">
        <f>IF(K428=TRUE(),E428,0)</f>
        <v>0</v>
      </c>
      <c r="J428" t="b" s="4">
        <v>1</v>
      </c>
      <c r="K428" t="b" s="4">
        <v>0</v>
      </c>
    </row>
    <row r="429" ht="17" customHeight="1">
      <c r="A429" s="4">
        <v>363</v>
      </c>
      <c r="B429" s="5">
        <v>40969</v>
      </c>
      <c r="C429" t="s" s="3">
        <v>120</v>
      </c>
      <c r="D429" t="s" s="3">
        <v>70</v>
      </c>
      <c r="E429" s="6">
        <v>430402</v>
      </c>
      <c r="F429" s="6">
        <f>E429*0.19</f>
        <v>81776.38</v>
      </c>
      <c r="G429" s="6">
        <f>E429+F429</f>
        <v>512178.38</v>
      </c>
      <c r="H429" s="7">
        <f>IF(J429=TRUE(),E429,0)</f>
        <v>430402</v>
      </c>
      <c r="I429" s="7">
        <f>IF(K429=TRUE(),E429,0)</f>
        <v>0</v>
      </c>
      <c r="J429" t="b" s="4">
        <v>1</v>
      </c>
      <c r="K429" t="b" s="4">
        <v>0</v>
      </c>
    </row>
    <row r="430" ht="17" customHeight="1">
      <c r="A430" s="4">
        <v>364</v>
      </c>
      <c r="B430" s="5">
        <v>40969</v>
      </c>
      <c r="C430" t="s" s="3">
        <v>127</v>
      </c>
      <c r="D430" t="s" s="3">
        <v>70</v>
      </c>
      <c r="E430" s="6">
        <v>487684</v>
      </c>
      <c r="F430" s="6">
        <f>E430*0.19</f>
        <v>92659.960000000006</v>
      </c>
      <c r="G430" s="6">
        <f>E430+F430</f>
        <v>580343.96</v>
      </c>
      <c r="H430" s="7">
        <f>IF(J430=TRUE(),E430,0)</f>
        <v>487684</v>
      </c>
      <c r="I430" s="7">
        <f>IF(K430=TRUE(),E430,0)</f>
        <v>0</v>
      </c>
      <c r="J430" t="b" s="4">
        <v>1</v>
      </c>
      <c r="K430" t="b" s="4">
        <v>0</v>
      </c>
    </row>
    <row r="431" ht="17" customHeight="1">
      <c r="A431" s="4">
        <v>365</v>
      </c>
      <c r="B431" s="5">
        <v>40969</v>
      </c>
      <c r="C431" t="s" s="3">
        <v>66</v>
      </c>
      <c r="D431" t="s" s="3">
        <v>70</v>
      </c>
      <c r="E431" s="6">
        <v>137028</v>
      </c>
      <c r="F431" s="6">
        <f>E431*0.19</f>
        <v>26035.32</v>
      </c>
      <c r="G431" s="6">
        <f>E431+F431</f>
        <v>163063.32</v>
      </c>
      <c r="H431" s="7">
        <f>IF(J431=TRUE(),E431,0)</f>
        <v>137028</v>
      </c>
      <c r="I431" s="7">
        <f>IF(K431=TRUE(),E431,0)</f>
        <v>0</v>
      </c>
      <c r="J431" t="b" s="4">
        <v>1</v>
      </c>
      <c r="K431" t="b" s="4">
        <v>0</v>
      </c>
    </row>
    <row r="432" ht="17" customHeight="1">
      <c r="A432" s="4">
        <v>366</v>
      </c>
      <c r="B432" s="5">
        <v>40969</v>
      </c>
      <c r="C432" t="s" s="3">
        <v>230</v>
      </c>
      <c r="D432" t="s" s="3">
        <v>70</v>
      </c>
      <c r="E432" s="6">
        <v>22464</v>
      </c>
      <c r="F432" s="6">
        <f>E432*0.19</f>
        <v>4268.16</v>
      </c>
      <c r="G432" s="6">
        <f>E432+F432</f>
        <v>26732.16</v>
      </c>
      <c r="H432" s="7">
        <f>IF(J432=TRUE(),E432,0)</f>
        <v>22464</v>
      </c>
      <c r="I432" s="7">
        <f>IF(K432=TRUE(),E432,0)</f>
        <v>0</v>
      </c>
      <c r="J432" t="b" s="4">
        <v>1</v>
      </c>
      <c r="K432" t="b" s="4">
        <v>0</v>
      </c>
    </row>
    <row r="433" ht="17" customHeight="1">
      <c r="A433" s="4">
        <v>367</v>
      </c>
      <c r="B433" s="5">
        <v>40969</v>
      </c>
      <c r="C433" t="s" s="3">
        <v>241</v>
      </c>
      <c r="D433" t="s" s="3">
        <v>70</v>
      </c>
      <c r="E433" s="6">
        <v>108499</v>
      </c>
      <c r="F433" s="6">
        <f>E433*0.19</f>
        <v>20614.81</v>
      </c>
      <c r="G433" s="6">
        <f>E433+F433</f>
        <v>129113.81</v>
      </c>
      <c r="H433" s="7">
        <f>IF(J433=TRUE(),E433,0)</f>
        <v>108499</v>
      </c>
      <c r="I433" s="7">
        <f>IF(K433=TRUE(),E433,0)</f>
        <v>0</v>
      </c>
      <c r="J433" t="b" s="4">
        <v>1</v>
      </c>
      <c r="K433" t="b" s="4">
        <v>0</v>
      </c>
    </row>
    <row r="434" ht="17" customHeight="1">
      <c r="A434" s="4">
        <v>368</v>
      </c>
      <c r="B434" s="5">
        <v>40969</v>
      </c>
      <c r="C434" t="s" s="3">
        <v>224</v>
      </c>
      <c r="D434" t="s" s="3">
        <v>70</v>
      </c>
      <c r="E434" s="6">
        <v>46724</v>
      </c>
      <c r="F434" s="6">
        <f>E434*0.19</f>
        <v>8877.559999999999</v>
      </c>
      <c r="G434" s="6">
        <f>E434+F434</f>
        <v>55601.56</v>
      </c>
      <c r="H434" s="7">
        <f>IF(J434=TRUE(),E434,0)</f>
        <v>46724</v>
      </c>
      <c r="I434" s="7">
        <f>IF(K434=TRUE(),E434,0)</f>
        <v>0</v>
      </c>
      <c r="J434" t="b" s="4">
        <v>1</v>
      </c>
      <c r="K434" t="b" s="4">
        <v>0</v>
      </c>
    </row>
    <row r="435" ht="17" customHeight="1">
      <c r="A435" t="s" s="3">
        <v>265</v>
      </c>
      <c r="B435" s="5">
        <v>41029</v>
      </c>
      <c r="C435" t="s" s="3">
        <v>224</v>
      </c>
      <c r="D435" s="3"/>
      <c r="E435" s="6">
        <v>-46724</v>
      </c>
      <c r="F435" s="6">
        <f>E435*0.19</f>
        <v>-8877.559999999999</v>
      </c>
      <c r="G435" s="6">
        <f>E435+F435</f>
        <v>-55601.56</v>
      </c>
      <c r="H435" s="7">
        <f>IF(J435=TRUE(),E435,0)</f>
        <v>-46724</v>
      </c>
      <c r="I435" s="7">
        <f>IF(K435=TRUE(),E435,0)</f>
        <v>0</v>
      </c>
      <c r="J435" t="b" s="4">
        <v>1</v>
      </c>
      <c r="K435" t="b" s="4">
        <v>0</v>
      </c>
    </row>
    <row r="436" ht="17" customHeight="1">
      <c r="A436" s="4">
        <v>369</v>
      </c>
      <c r="B436" s="5">
        <v>40969</v>
      </c>
      <c r="C436" t="s" s="3">
        <v>33</v>
      </c>
      <c r="D436" t="s" s="3">
        <v>266</v>
      </c>
      <c r="E436" s="6">
        <v>1488000</v>
      </c>
      <c r="F436" s="6">
        <f>E436*0.19</f>
        <v>282720</v>
      </c>
      <c r="G436" s="6">
        <f>E436+F436</f>
        <v>1770720</v>
      </c>
      <c r="H436" s="7">
        <f>IF(J436=TRUE(),E436,0)</f>
        <v>0</v>
      </c>
      <c r="I436" s="7">
        <f>IF(K436=TRUE(),E436,0)</f>
        <v>0</v>
      </c>
      <c r="J436" t="b" s="4">
        <v>0</v>
      </c>
      <c r="K436" t="b" s="4">
        <v>0</v>
      </c>
    </row>
    <row r="437" ht="17" customHeight="1">
      <c r="A437" s="4">
        <v>370</v>
      </c>
      <c r="B437" s="5">
        <v>40974</v>
      </c>
      <c r="C437" t="s" s="3">
        <v>92</v>
      </c>
      <c r="D437" t="s" s="3">
        <v>52</v>
      </c>
      <c r="E437" s="6">
        <v>561000</v>
      </c>
      <c r="F437" s="6">
        <f>E437*0.19</f>
        <v>106590</v>
      </c>
      <c r="G437" s="6">
        <f>E437+F437</f>
        <v>667590</v>
      </c>
      <c r="H437" s="7">
        <f>IF(J437=TRUE(),E437,0)</f>
        <v>561000</v>
      </c>
      <c r="I437" s="7">
        <f>IF(K437=TRUE(),E437,0)</f>
        <v>0</v>
      </c>
      <c r="J437" t="b" s="4">
        <v>1</v>
      </c>
      <c r="K437" t="b" s="4">
        <v>0</v>
      </c>
    </row>
    <row r="438" ht="17" customHeight="1">
      <c r="A438" s="4">
        <v>371</v>
      </c>
      <c r="B438" s="5">
        <v>40974</v>
      </c>
      <c r="C438" t="s" s="3">
        <v>98</v>
      </c>
      <c r="D438" t="s" s="3">
        <v>52</v>
      </c>
      <c r="E438" s="6">
        <v>297000</v>
      </c>
      <c r="F438" s="6">
        <f>E438*0.19</f>
        <v>56430</v>
      </c>
      <c r="G438" s="6">
        <f>E438+F438</f>
        <v>353430</v>
      </c>
      <c r="H438" s="7">
        <f>IF(J438=TRUE(),E438,0)</f>
        <v>297000</v>
      </c>
      <c r="I438" s="7">
        <f>IF(K438=TRUE(),E438,0)</f>
        <v>0</v>
      </c>
      <c r="J438" t="b" s="4">
        <v>1</v>
      </c>
      <c r="K438" t="b" s="4">
        <v>0</v>
      </c>
    </row>
    <row r="439" ht="17" customHeight="1">
      <c r="A439" s="4">
        <v>372</v>
      </c>
      <c r="B439" s="5">
        <v>40970</v>
      </c>
      <c r="C439" t="s" s="3">
        <v>92</v>
      </c>
      <c r="D439" t="s" s="3">
        <v>267</v>
      </c>
      <c r="E439" s="6">
        <v>933290</v>
      </c>
      <c r="F439" s="6">
        <f>E439*0.19</f>
        <v>177325.1</v>
      </c>
      <c r="G439" s="6">
        <f>E439+F439</f>
        <v>1110615.1</v>
      </c>
      <c r="H439" s="7">
        <f>IF(J439=TRUE(),E439,0)</f>
        <v>0</v>
      </c>
      <c r="I439" s="7">
        <f>IF(K439=TRUE(),E439,0)</f>
        <v>0</v>
      </c>
      <c r="J439" t="b" s="4">
        <v>0</v>
      </c>
      <c r="K439" t="b" s="4">
        <v>0</v>
      </c>
    </row>
    <row r="440" ht="17" customHeight="1">
      <c r="A440" s="4">
        <v>373</v>
      </c>
      <c r="B440" s="5">
        <v>40982</v>
      </c>
      <c r="C440" t="s" s="3">
        <v>268</v>
      </c>
      <c r="D440" t="s" s="3">
        <v>269</v>
      </c>
      <c r="E440" s="6">
        <v>882000</v>
      </c>
      <c r="F440" s="6">
        <f>E440*0.19</f>
        <v>167580</v>
      </c>
      <c r="G440" s="6">
        <f>E440+F440</f>
        <v>1049580</v>
      </c>
      <c r="H440" s="7">
        <f>IF(J440=TRUE(),E440,0)</f>
        <v>0</v>
      </c>
      <c r="I440" s="7">
        <f>IF(K440=TRUE(),E440,0)</f>
        <v>0</v>
      </c>
      <c r="J440" t="b" s="4">
        <v>0</v>
      </c>
      <c r="K440" t="b" s="4">
        <v>0</v>
      </c>
    </row>
    <row r="441" ht="17" customHeight="1">
      <c r="A441" s="4">
        <v>374</v>
      </c>
      <c r="B441" s="5">
        <v>40969</v>
      </c>
      <c r="C441" t="s" s="3">
        <v>268</v>
      </c>
      <c r="D441" t="s" s="3">
        <v>70</v>
      </c>
      <c r="E441" s="6">
        <f>2.25*22463.56</f>
        <v>50543.01</v>
      </c>
      <c r="F441" s="6">
        <f>E441*0.19</f>
        <v>9603.171900000001</v>
      </c>
      <c r="G441" s="6">
        <f>E441+F441</f>
        <v>60146.1819</v>
      </c>
      <c r="H441" s="7">
        <f>IF(J441=TRUE(),E441,0)</f>
        <v>50543.01</v>
      </c>
      <c r="I441" s="7">
        <f>IF(K441=TRUE(),E441,0)</f>
        <v>0</v>
      </c>
      <c r="J441" t="b" s="4">
        <v>1</v>
      </c>
      <c r="K441" t="b" s="4">
        <v>0</v>
      </c>
    </row>
    <row r="442" ht="17" customHeight="1">
      <c r="A442" s="4">
        <v>375</v>
      </c>
      <c r="B442" s="5">
        <v>40982</v>
      </c>
      <c r="C442" t="s" s="3">
        <v>33</v>
      </c>
      <c r="D442" t="s" s="3">
        <v>270</v>
      </c>
      <c r="E442" s="6">
        <v>340500</v>
      </c>
      <c r="F442" s="6">
        <f>E442*0.19</f>
        <v>64695</v>
      </c>
      <c r="G442" s="6">
        <f>E442+F442</f>
        <v>405195</v>
      </c>
      <c r="H442" s="7">
        <f>IF(J442=TRUE(),E442,0)</f>
        <v>0</v>
      </c>
      <c r="I442" s="7">
        <f>IF(K442=TRUE(),E442,0)</f>
        <v>0</v>
      </c>
      <c r="J442" t="b" s="4">
        <v>0</v>
      </c>
      <c r="K442" t="b" s="4">
        <v>0</v>
      </c>
    </row>
    <row r="443" ht="17" customHeight="1">
      <c r="A443" s="4">
        <v>376</v>
      </c>
      <c r="B443" s="5">
        <v>40982</v>
      </c>
      <c r="C443" t="s" s="3">
        <v>33</v>
      </c>
      <c r="D443" t="s" s="3">
        <v>271</v>
      </c>
      <c r="E443" s="6">
        <v>45000</v>
      </c>
      <c r="F443" s="6">
        <f>E443*0.19</f>
        <v>8550</v>
      </c>
      <c r="G443" s="6">
        <f>E443+F443</f>
        <v>53550</v>
      </c>
      <c r="H443" s="7">
        <f>IF(J443=TRUE(),E443,0)</f>
        <v>0</v>
      </c>
      <c r="I443" s="7">
        <f>IF(K443=TRUE(),E443,0)</f>
        <v>0</v>
      </c>
      <c r="J443" t="b" s="4">
        <v>0</v>
      </c>
      <c r="K443" t="b" s="4">
        <v>0</v>
      </c>
    </row>
    <row r="444" ht="17" customHeight="1">
      <c r="A444" s="4">
        <v>377</v>
      </c>
      <c r="B444" s="5">
        <v>40984</v>
      </c>
      <c r="C444" t="s" s="3">
        <v>22</v>
      </c>
      <c r="D444" t="s" s="3">
        <v>272</v>
      </c>
      <c r="E444" s="6">
        <v>97000</v>
      </c>
      <c r="F444" s="6">
        <f>E444*0.19</f>
        <v>18430</v>
      </c>
      <c r="G444" s="6">
        <f>E444+F444</f>
        <v>115430</v>
      </c>
      <c r="H444" s="7">
        <f>IF(J444=TRUE(),E444,0)</f>
        <v>0</v>
      </c>
      <c r="I444" s="7">
        <f>IF(K444=TRUE(),E444,0)</f>
        <v>0</v>
      </c>
      <c r="J444" t="b" s="4">
        <v>0</v>
      </c>
      <c r="K444" t="b" s="4">
        <v>0</v>
      </c>
    </row>
    <row r="445" ht="17.5" customHeight="1">
      <c r="A445" s="9">
        <v>378</v>
      </c>
      <c r="B445" s="5">
        <v>40984</v>
      </c>
      <c r="C445" t="s" s="10">
        <v>268</v>
      </c>
      <c r="D445" t="s" s="10">
        <v>273</v>
      </c>
      <c r="E445" s="11">
        <v>150000</v>
      </c>
      <c r="F445" s="11">
        <f>E445*0.19</f>
        <v>28500</v>
      </c>
      <c r="G445" s="11">
        <f>E445+F445</f>
        <v>178500</v>
      </c>
      <c r="H445" s="12">
        <f>IF(J445=TRUE(),E445,0)</f>
        <v>0</v>
      </c>
      <c r="I445" s="12">
        <f>IF(K445=TRUE(),E445,0)</f>
        <v>0</v>
      </c>
      <c r="J445" t="b" s="9">
        <v>0</v>
      </c>
      <c r="K445" t="b" s="9">
        <v>0</v>
      </c>
    </row>
    <row r="446" ht="18" customHeight="1">
      <c r="A446" s="13">
        <v>27</v>
      </c>
      <c r="B446" t="s" s="3">
        <v>274</v>
      </c>
      <c r="C446" t="s" s="14">
        <v>7</v>
      </c>
      <c r="D446" s="14"/>
      <c r="E446" s="15">
        <f>SUM(E419:E445)</f>
        <v>7297535.01</v>
      </c>
      <c r="F446" s="15">
        <f>SUM(F419:F445)</f>
        <v>1386531.6519</v>
      </c>
      <c r="G446" s="16">
        <f>SUM(G419:G445)</f>
        <v>8684066.661900001</v>
      </c>
      <c r="H446" s="17">
        <f>SUM(H419:H445)</f>
        <v>2740345.01</v>
      </c>
      <c r="I446" s="17"/>
      <c r="J446" s="18">
        <f>COUNTIF(J419:J445,TRUE())</f>
        <v>16</v>
      </c>
      <c r="K446" s="19"/>
    </row>
    <row r="447" ht="17.5" customHeight="1">
      <c r="A447" s="20"/>
      <c r="B447" s="5"/>
      <c r="C447" s="20"/>
      <c r="D447" s="21"/>
      <c r="E447" s="20"/>
      <c r="F447" s="20"/>
      <c r="G447" s="20"/>
      <c r="H447" s="22"/>
      <c r="I447" s="22"/>
      <c r="J447" s="20"/>
      <c r="K447" s="20"/>
    </row>
    <row r="448" ht="17" customHeight="1">
      <c r="A448" t="s" s="3">
        <v>1</v>
      </c>
      <c r="B448" t="s" s="3">
        <v>2</v>
      </c>
      <c r="C448" t="s" s="3">
        <v>3</v>
      </c>
      <c r="D448" t="s" s="3">
        <v>4</v>
      </c>
      <c r="E448" t="s" s="3">
        <v>5</v>
      </c>
      <c r="F448" t="s" s="3">
        <v>6</v>
      </c>
      <c r="G448" t="s" s="3">
        <v>7</v>
      </c>
      <c r="H448" s="7"/>
      <c r="I448" s="7"/>
      <c r="J448" s="8"/>
      <c r="K448" s="8"/>
    </row>
    <row r="449" ht="17" customHeight="1">
      <c r="A449" s="4">
        <v>379</v>
      </c>
      <c r="B449" s="5">
        <v>41001</v>
      </c>
      <c r="C449" t="s" s="3">
        <v>92</v>
      </c>
      <c r="D449" t="s" s="3">
        <v>70</v>
      </c>
      <c r="E449" s="6">
        <v>561000</v>
      </c>
      <c r="F449" s="6">
        <f>E449*0.19</f>
        <v>106590</v>
      </c>
      <c r="G449" s="6">
        <f>E449+F449</f>
        <v>667590</v>
      </c>
      <c r="H449" s="7">
        <f>IF(J449=TRUE(),E449,0)</f>
        <v>561000</v>
      </c>
      <c r="I449" s="7">
        <f>IF(K449=TRUE(),E449,0)</f>
        <v>0</v>
      </c>
      <c r="J449" t="b" s="4">
        <v>1</v>
      </c>
      <c r="K449" t="b" s="4">
        <v>0</v>
      </c>
    </row>
    <row r="450" ht="17" customHeight="1">
      <c r="A450" s="4">
        <v>380</v>
      </c>
      <c r="B450" s="5">
        <v>41001</v>
      </c>
      <c r="C450" t="s" s="3">
        <v>98</v>
      </c>
      <c r="D450" t="s" s="3">
        <v>70</v>
      </c>
      <c r="E450" s="6">
        <v>297000</v>
      </c>
      <c r="F450" s="6">
        <f>E450*0.19</f>
        <v>56430</v>
      </c>
      <c r="G450" s="6">
        <f>E450+F450</f>
        <v>353430</v>
      </c>
      <c r="H450" s="7">
        <f>IF(J450=TRUE(),E450,0)</f>
        <v>297000</v>
      </c>
      <c r="I450" s="7">
        <f>IF(K450=TRUE(),E450,0)</f>
        <v>0</v>
      </c>
      <c r="J450" t="b" s="4">
        <v>1</v>
      </c>
      <c r="K450" t="b" s="4">
        <v>0</v>
      </c>
    </row>
    <row r="451" ht="17" customHeight="1">
      <c r="A451" s="4">
        <v>381</v>
      </c>
      <c r="B451" s="5">
        <v>41001</v>
      </c>
      <c r="C451" t="s" s="3">
        <v>33</v>
      </c>
      <c r="D451" t="s" s="3">
        <v>52</v>
      </c>
      <c r="E451" s="6">
        <f t="shared" si="1580" ref="E451:E539">32.84*22462.79</f>
        <v>737678.0236000001</v>
      </c>
      <c r="F451" s="6">
        <f>E451*0.19</f>
        <v>140158.824484</v>
      </c>
      <c r="G451" s="6">
        <f>E451+F451</f>
        <v>877836.8480840001</v>
      </c>
      <c r="H451" s="7">
        <f>IF(J451=TRUE(),E451,0)</f>
        <v>737678.0236000001</v>
      </c>
      <c r="I451" s="7">
        <f>IF(K451=TRUE(),E451,0)</f>
        <v>0</v>
      </c>
      <c r="J451" t="b" s="4">
        <v>1</v>
      </c>
      <c r="K451" t="b" s="4">
        <v>0</v>
      </c>
    </row>
    <row r="452" ht="17" customHeight="1">
      <c r="A452" s="4">
        <v>382</v>
      </c>
      <c r="B452" s="5">
        <v>41001</v>
      </c>
      <c r="C452" t="s" s="3">
        <v>33</v>
      </c>
      <c r="D452" t="s" s="3">
        <v>70</v>
      </c>
      <c r="E452" s="6">
        <f>1.86*22539.31</f>
        <v>41923.1166</v>
      </c>
      <c r="F452" s="6">
        <f>E452*0.19</f>
        <v>7965.392154</v>
      </c>
      <c r="G452" s="6">
        <f>E452+F452</f>
        <v>49888.508754</v>
      </c>
      <c r="H452" s="7">
        <f>IF(J452=TRUE(),E452,0)</f>
        <v>41923.1166</v>
      </c>
      <c r="I452" s="7">
        <f>IF(K452=TRUE(),E452,0)</f>
        <v>0</v>
      </c>
      <c r="J452" t="b" s="4">
        <v>1</v>
      </c>
      <c r="K452" t="b" s="4">
        <v>0</v>
      </c>
    </row>
    <row r="453" ht="17" customHeight="1">
      <c r="A453" s="4">
        <v>383</v>
      </c>
      <c r="B453" s="5">
        <v>41001</v>
      </c>
      <c r="C453" t="s" s="3">
        <v>92</v>
      </c>
      <c r="D453" t="s" s="3">
        <v>275</v>
      </c>
      <c r="E453" s="6">
        <v>800000</v>
      </c>
      <c r="F453" s="6">
        <f>E453*0.19</f>
        <v>152000</v>
      </c>
      <c r="G453" s="6">
        <f>E453+F453</f>
        <v>952000</v>
      </c>
      <c r="H453" s="7">
        <f>IF(J453=TRUE(),E453,0)</f>
        <v>0</v>
      </c>
      <c r="I453" s="7">
        <f>IF(K453=TRUE(),E453,0)</f>
        <v>0</v>
      </c>
      <c r="J453" t="b" s="4">
        <v>0</v>
      </c>
      <c r="K453" t="b" s="4">
        <v>0</v>
      </c>
    </row>
    <row r="454" ht="17" customHeight="1">
      <c r="A454" s="4">
        <v>384</v>
      </c>
      <c r="B454" s="5">
        <v>41001</v>
      </c>
      <c r="C454" t="s" s="3">
        <v>22</v>
      </c>
      <c r="D454" t="s" s="3">
        <v>84</v>
      </c>
      <c r="E454" s="6">
        <v>149100</v>
      </c>
      <c r="F454" s="6">
        <f>E454*0.19</f>
        <v>28329</v>
      </c>
      <c r="G454" s="6">
        <f>E454+F454</f>
        <v>177429</v>
      </c>
      <c r="H454" s="7">
        <f>IF(J454=TRUE(),E454,0)</f>
        <v>149100</v>
      </c>
      <c r="I454" s="7">
        <f>IF(K454=TRUE(),E454,0)</f>
        <v>0</v>
      </c>
      <c r="J454" t="b" s="4">
        <v>1</v>
      </c>
      <c r="K454" t="b" s="4">
        <v>0</v>
      </c>
    </row>
    <row r="455" ht="17" customHeight="1">
      <c r="A455" s="4">
        <v>385</v>
      </c>
      <c r="B455" s="5">
        <v>41001</v>
      </c>
      <c r="C455" t="s" s="3">
        <v>56</v>
      </c>
      <c r="D455" t="s" s="3">
        <v>84</v>
      </c>
      <c r="E455" s="6">
        <v>125000</v>
      </c>
      <c r="F455" s="6">
        <f>E455*0.19</f>
        <v>23750</v>
      </c>
      <c r="G455" s="6">
        <f>E455+F455</f>
        <v>148750</v>
      </c>
      <c r="H455" s="7">
        <f>IF(J455=TRUE(),E455,0)</f>
        <v>125000</v>
      </c>
      <c r="I455" s="7">
        <f>IF(K455=TRUE(),E455,0)</f>
        <v>0</v>
      </c>
      <c r="J455" t="b" s="4">
        <v>1</v>
      </c>
      <c r="K455" t="b" s="4">
        <v>0</v>
      </c>
    </row>
    <row r="456" ht="17" customHeight="1">
      <c r="A456" s="4">
        <v>386</v>
      </c>
      <c r="B456" s="5">
        <v>41001</v>
      </c>
      <c r="C456" t="s" s="3">
        <v>42</v>
      </c>
      <c r="D456" t="s" s="3">
        <v>84</v>
      </c>
      <c r="E456" s="6">
        <v>157500</v>
      </c>
      <c r="F456" s="6">
        <f>E456*0.19</f>
        <v>29925</v>
      </c>
      <c r="G456" s="6">
        <f>E456+F456</f>
        <v>187425</v>
      </c>
      <c r="H456" s="7">
        <f>IF(J456=TRUE(),E456,0)</f>
        <v>157500</v>
      </c>
      <c r="I456" s="7">
        <f>IF(K456=TRUE(),E456,0)</f>
        <v>0</v>
      </c>
      <c r="J456" t="b" s="4">
        <v>1</v>
      </c>
      <c r="K456" t="b" s="4">
        <v>0</v>
      </c>
    </row>
    <row r="457" ht="17" customHeight="1">
      <c r="A457" s="4">
        <v>387</v>
      </c>
      <c r="B457" s="5">
        <v>41001</v>
      </c>
      <c r="C457" t="s" s="3">
        <v>34</v>
      </c>
      <c r="D457" t="s" s="3">
        <v>84</v>
      </c>
      <c r="E457" s="6">
        <v>25500</v>
      </c>
      <c r="F457" s="6">
        <f>E457*0.19</f>
        <v>4845</v>
      </c>
      <c r="G457" s="6">
        <f>E457+F457</f>
        <v>30345</v>
      </c>
      <c r="H457" s="7">
        <f>IF(J457=TRUE(),E457,0)</f>
        <v>25500</v>
      </c>
      <c r="I457" s="7">
        <f>IF(K457=TRUE(),E457,0)</f>
        <v>0</v>
      </c>
      <c r="J457" t="b" s="4">
        <v>1</v>
      </c>
      <c r="K457" t="b" s="4">
        <v>0</v>
      </c>
    </row>
    <row r="458" ht="17" customHeight="1">
      <c r="A458" s="4">
        <v>388</v>
      </c>
      <c r="B458" s="5">
        <v>41001</v>
      </c>
      <c r="C458" t="s" s="3">
        <v>60</v>
      </c>
      <c r="D458" t="s" s="3">
        <v>84</v>
      </c>
      <c r="E458" s="6">
        <v>30625</v>
      </c>
      <c r="F458" s="6">
        <f>E458*0.19</f>
        <v>5818.75</v>
      </c>
      <c r="G458" s="6">
        <f>E458+F458</f>
        <v>36443.75</v>
      </c>
      <c r="H458" s="7">
        <f>IF(J458=TRUE(),E458,0)</f>
        <v>30625</v>
      </c>
      <c r="I458" s="7">
        <f>IF(K458=TRUE(),E458,0)</f>
        <v>0</v>
      </c>
      <c r="J458" t="b" s="4">
        <v>1</v>
      </c>
      <c r="K458" t="b" s="4">
        <v>0</v>
      </c>
    </row>
    <row r="459" ht="17" customHeight="1">
      <c r="A459" s="4">
        <v>389</v>
      </c>
      <c r="B459" s="5">
        <v>41001</v>
      </c>
      <c r="C459" t="s" s="3">
        <v>40</v>
      </c>
      <c r="D459" t="s" s="3">
        <v>84</v>
      </c>
      <c r="E459" s="6">
        <v>158000</v>
      </c>
      <c r="F459" s="6">
        <f>E459*0.19</f>
        <v>30020</v>
      </c>
      <c r="G459" s="6">
        <f>E459+F459</f>
        <v>188020</v>
      </c>
      <c r="H459" s="7">
        <f>IF(J459=TRUE(),E459,0)</f>
        <v>158000</v>
      </c>
      <c r="I459" s="7">
        <f>IF(K459=TRUE(),E459,0)</f>
        <v>0</v>
      </c>
      <c r="J459" t="b" s="4">
        <v>1</v>
      </c>
      <c r="K459" t="b" s="4">
        <v>0</v>
      </c>
    </row>
    <row r="460" ht="17" customHeight="1">
      <c r="A460" s="4">
        <v>390</v>
      </c>
      <c r="B460" s="5">
        <v>41001</v>
      </c>
      <c r="C460" t="s" s="3">
        <v>120</v>
      </c>
      <c r="D460" t="s" s="3">
        <v>84</v>
      </c>
      <c r="E460" s="6">
        <f>19.16*22539.31</f>
        <v>431853.1796</v>
      </c>
      <c r="F460" s="6">
        <f>E460*0.19</f>
        <v>82052.104124</v>
      </c>
      <c r="G460" s="6">
        <f>E460+F460</f>
        <v>513905.283724</v>
      </c>
      <c r="H460" s="7">
        <f>IF(J460=TRUE(),E460,0)</f>
        <v>431853.1796</v>
      </c>
      <c r="I460" s="7">
        <f>IF(K460=TRUE(),E460,0)</f>
        <v>0</v>
      </c>
      <c r="J460" t="b" s="4">
        <v>1</v>
      </c>
      <c r="K460" t="b" s="4">
        <v>0</v>
      </c>
    </row>
    <row r="461" ht="17" customHeight="1">
      <c r="A461" s="4">
        <v>391</v>
      </c>
      <c r="B461" s="5">
        <v>41001</v>
      </c>
      <c r="C461" t="s" s="3">
        <v>127</v>
      </c>
      <c r="D461" t="s" s="3">
        <v>84</v>
      </c>
      <c r="E461" s="6">
        <f>21.71*22539.31</f>
        <v>489328.4201</v>
      </c>
      <c r="F461" s="6">
        <f>E461*0.19</f>
        <v>92972.399819000013</v>
      </c>
      <c r="G461" s="6">
        <f>E461+F461</f>
        <v>582300.819919</v>
      </c>
      <c r="H461" s="7">
        <f>IF(J461=TRUE(),E461,0)</f>
        <v>489328.4201</v>
      </c>
      <c r="I461" s="7">
        <f>IF(K461=TRUE(),E461,0)</f>
        <v>0</v>
      </c>
      <c r="J461" t="b" s="4">
        <v>1</v>
      </c>
      <c r="K461" t="b" s="4">
        <v>0</v>
      </c>
    </row>
    <row r="462" ht="17" customHeight="1">
      <c r="A462" s="4">
        <v>392</v>
      </c>
      <c r="B462" s="5">
        <v>41001</v>
      </c>
      <c r="C462" t="s" s="3">
        <v>66</v>
      </c>
      <c r="D462" t="s" s="3">
        <v>84</v>
      </c>
      <c r="E462" s="6">
        <f>6.1*22539.31</f>
        <v>137489.791</v>
      </c>
      <c r="F462" s="6">
        <f>E462*0.19</f>
        <v>26123.06029</v>
      </c>
      <c r="G462" s="6">
        <f>E462+F462</f>
        <v>163612.85129</v>
      </c>
      <c r="H462" s="7">
        <f>IF(J462=TRUE(),E462,0)</f>
        <v>137489.791</v>
      </c>
      <c r="I462" s="7">
        <f>IF(K462=TRUE(),E462,0)</f>
        <v>0</v>
      </c>
      <c r="J462" t="b" s="4">
        <v>1</v>
      </c>
      <c r="K462" t="b" s="4">
        <v>0</v>
      </c>
    </row>
    <row r="463" ht="17" customHeight="1">
      <c r="A463" s="4">
        <v>393</v>
      </c>
      <c r="B463" s="5">
        <v>41001</v>
      </c>
      <c r="C463" t="s" s="3">
        <v>230</v>
      </c>
      <c r="D463" t="s" s="3">
        <v>84</v>
      </c>
      <c r="E463" s="6">
        <f>1*22539.31</f>
        <v>22539.31</v>
      </c>
      <c r="F463" s="6">
        <f>E463*0.19</f>
        <v>4282.4689</v>
      </c>
      <c r="G463" s="6">
        <f>E463+F463</f>
        <v>26821.7789</v>
      </c>
      <c r="H463" s="7">
        <f>IF(J463=TRUE(),E463,0)</f>
        <v>22539.31</v>
      </c>
      <c r="I463" s="7">
        <f>IF(K463=TRUE(),E463,0)</f>
        <v>0</v>
      </c>
      <c r="J463" t="b" s="4">
        <v>1</v>
      </c>
      <c r="K463" t="b" s="4">
        <v>0</v>
      </c>
    </row>
    <row r="464" ht="17" customHeight="1">
      <c r="A464" s="4">
        <v>394</v>
      </c>
      <c r="B464" s="5">
        <v>41001</v>
      </c>
      <c r="C464" t="s" s="3">
        <v>241</v>
      </c>
      <c r="D464" t="s" s="3">
        <v>84</v>
      </c>
      <c r="E464" s="6">
        <f>4.83*22539.31</f>
        <v>108864.8673</v>
      </c>
      <c r="F464" s="6">
        <f>E464*0.19</f>
        <v>20684.324787</v>
      </c>
      <c r="G464" s="6">
        <f>E464+F464</f>
        <v>129549.192087</v>
      </c>
      <c r="H464" s="7">
        <f>IF(J464=TRUE(),E464,0)</f>
        <v>108864.8673</v>
      </c>
      <c r="I464" s="7">
        <f>IF(K464=TRUE(),E464,0)</f>
        <v>0</v>
      </c>
      <c r="J464" t="b" s="4">
        <v>1</v>
      </c>
      <c r="K464" t="b" s="4">
        <v>0</v>
      </c>
    </row>
    <row r="465" ht="17" customHeight="1">
      <c r="A465" s="4">
        <v>395</v>
      </c>
      <c r="B465" s="5">
        <v>41001</v>
      </c>
      <c r="C465" t="s" s="3">
        <v>224</v>
      </c>
      <c r="D465" t="s" s="3">
        <v>84</v>
      </c>
      <c r="E465" s="6">
        <f>2.08*22539.31</f>
        <v>46881.7648</v>
      </c>
      <c r="F465" s="6">
        <f>E465*0.19</f>
        <v>8907.535312000002</v>
      </c>
      <c r="G465" s="6">
        <f>E465+F465</f>
        <v>55789.300112</v>
      </c>
      <c r="H465" s="7">
        <f>IF(J465=TRUE(),E465,0)</f>
        <v>46881.7648</v>
      </c>
      <c r="I465" s="7">
        <f>IF(K465=TRUE(),E465,0)</f>
        <v>0</v>
      </c>
      <c r="J465" t="b" s="4">
        <v>1</v>
      </c>
      <c r="K465" t="b" s="4">
        <v>0</v>
      </c>
    </row>
    <row r="466" ht="17" customHeight="1">
      <c r="A466" t="s" s="3">
        <v>276</v>
      </c>
      <c r="B466" s="5">
        <v>41029</v>
      </c>
      <c r="C466" t="s" s="3">
        <v>224</v>
      </c>
      <c r="D466" t="s" s="3">
        <v>84</v>
      </c>
      <c r="E466" s="6">
        <v>-46882</v>
      </c>
      <c r="F466" s="6">
        <f>E466*0.19</f>
        <v>-8907.58</v>
      </c>
      <c r="G466" s="6">
        <f>E466+F466</f>
        <v>-55789.58</v>
      </c>
      <c r="H466" s="7">
        <f>IF(J466=TRUE(),E466,0)</f>
        <v>-46882</v>
      </c>
      <c r="I466" s="7">
        <f>IF(K466=TRUE(),E466,0)</f>
        <v>0</v>
      </c>
      <c r="J466" t="b" s="4">
        <v>1</v>
      </c>
      <c r="K466" t="b" s="4">
        <v>0</v>
      </c>
    </row>
    <row r="467" ht="17" customHeight="1">
      <c r="A467" s="4">
        <v>396</v>
      </c>
      <c r="B467" s="5">
        <v>41001</v>
      </c>
      <c r="C467" t="s" s="3">
        <v>268</v>
      </c>
      <c r="D467" t="s" s="3">
        <v>84</v>
      </c>
      <c r="E467" s="6">
        <f>2.25*22539.31</f>
        <v>50713.4475</v>
      </c>
      <c r="F467" s="6">
        <f>E467*0.19</f>
        <v>9635.555025</v>
      </c>
      <c r="G467" s="6">
        <f>E467+F467</f>
        <v>60349.002525</v>
      </c>
      <c r="H467" s="7">
        <f>IF(J467=TRUE(),E467,0)</f>
        <v>50713.4475</v>
      </c>
      <c r="I467" s="7">
        <f>IF(K467=TRUE(),E467,0)</f>
        <v>0</v>
      </c>
      <c r="J467" t="b" s="4">
        <v>1</v>
      </c>
      <c r="K467" t="b" s="4">
        <v>0</v>
      </c>
    </row>
    <row r="468" ht="17" customHeight="1">
      <c r="A468" s="4">
        <v>397</v>
      </c>
      <c r="B468" s="5">
        <v>41001</v>
      </c>
      <c r="C468" t="s" s="3">
        <v>66</v>
      </c>
      <c r="D468" t="s" s="3">
        <v>277</v>
      </c>
      <c r="E468" s="6">
        <v>700000</v>
      </c>
      <c r="F468" s="6">
        <f>E468*0.19</f>
        <v>133000</v>
      </c>
      <c r="G468" s="6">
        <f>E468+F468</f>
        <v>833000</v>
      </c>
      <c r="H468" s="7">
        <f>IF(J468=TRUE(),E468,0)</f>
        <v>0</v>
      </c>
      <c r="I468" s="7">
        <f>IF(K468=TRUE(),E468,0)</f>
        <v>0</v>
      </c>
      <c r="J468" t="b" s="4">
        <v>0</v>
      </c>
      <c r="K468" t="b" s="4">
        <v>0</v>
      </c>
    </row>
    <row r="469" ht="17" customHeight="1">
      <c r="A469" s="4">
        <v>398</v>
      </c>
      <c r="B469" s="5">
        <v>41001</v>
      </c>
      <c r="C469" t="s" s="3">
        <v>127</v>
      </c>
      <c r="D469" t="s" s="3">
        <v>278</v>
      </c>
      <c r="E469" s="6">
        <v>97000</v>
      </c>
      <c r="F469" s="6">
        <f>E469*0.19</f>
        <v>18430</v>
      </c>
      <c r="G469" s="6">
        <f>E469+F469</f>
        <v>115430</v>
      </c>
      <c r="H469" s="7">
        <f>IF(J469=TRUE(),E469,0)</f>
        <v>0</v>
      </c>
      <c r="I469" s="7">
        <f>IF(K469=TRUE(),E469,0)</f>
        <v>0</v>
      </c>
      <c r="J469" t="b" s="4">
        <v>0</v>
      </c>
      <c r="K469" t="b" s="4">
        <v>0</v>
      </c>
    </row>
    <row r="470" ht="17" customHeight="1">
      <c r="A470" s="4">
        <v>399</v>
      </c>
      <c r="B470" s="5">
        <v>41008</v>
      </c>
      <c r="C470" t="s" s="3">
        <v>90</v>
      </c>
      <c r="D470" t="s" s="3">
        <v>279</v>
      </c>
      <c r="E470" s="6">
        <v>350000</v>
      </c>
      <c r="F470" s="6">
        <f>E470*0.19</f>
        <v>66500</v>
      </c>
      <c r="G470" s="6">
        <f>E470+F470</f>
        <v>416500</v>
      </c>
      <c r="H470" s="7">
        <f>IF(J470=TRUE(),E470,0)</f>
        <v>0</v>
      </c>
      <c r="I470" s="7">
        <f>IF(K470=TRUE(),E470,0)</f>
        <v>0</v>
      </c>
      <c r="J470" t="b" s="4">
        <v>0</v>
      </c>
      <c r="K470" t="b" s="4">
        <v>0</v>
      </c>
    </row>
    <row r="471" ht="17" customHeight="1">
      <c r="A471" s="4">
        <v>400</v>
      </c>
      <c r="B471" s="5">
        <v>41001</v>
      </c>
      <c r="C471" t="s" s="3">
        <v>98</v>
      </c>
      <c r="D471" t="s" s="3">
        <v>280</v>
      </c>
      <c r="E471" s="6">
        <v>520000</v>
      </c>
      <c r="F471" s="6">
        <f>E471*0.19</f>
        <v>98800</v>
      </c>
      <c r="G471" s="6">
        <f>E471+F471</f>
        <v>618800</v>
      </c>
      <c r="H471" s="7">
        <f>IF(J471=TRUE(),E471,0)</f>
        <v>0</v>
      </c>
      <c r="I471" s="7">
        <f>IF(K471=TRUE(),E471,0)</f>
        <v>0</v>
      </c>
      <c r="J471" t="b" s="4">
        <v>0</v>
      </c>
      <c r="K471" t="b" s="4">
        <v>0</v>
      </c>
    </row>
    <row r="472" ht="17.5" customHeight="1">
      <c r="A472" t="s" s="10">
        <v>281</v>
      </c>
      <c r="B472" s="5">
        <v>41001</v>
      </c>
      <c r="C472" t="s" s="10">
        <v>98</v>
      </c>
      <c r="D472" t="s" s="10">
        <v>280</v>
      </c>
      <c r="E472" s="11">
        <v>-520000</v>
      </c>
      <c r="F472" s="11">
        <f>E472*0.19</f>
        <v>-98800</v>
      </c>
      <c r="G472" s="11">
        <f>E472+F472</f>
        <v>-618800</v>
      </c>
      <c r="H472" s="12">
        <f>IF(J472=TRUE(),E472,0)</f>
        <v>0</v>
      </c>
      <c r="I472" s="12">
        <f>IF(K472=TRUE(),E472,0)</f>
        <v>0</v>
      </c>
      <c r="J472" t="b" s="9">
        <v>0</v>
      </c>
      <c r="K472" t="b" s="9">
        <v>0</v>
      </c>
    </row>
    <row r="473" ht="18" customHeight="1">
      <c r="A473" s="13">
        <v>24</v>
      </c>
      <c r="B473" t="s" s="3">
        <v>282</v>
      </c>
      <c r="C473" t="s" s="14">
        <v>7</v>
      </c>
      <c r="D473" s="14"/>
      <c r="E473" s="15">
        <f>SUM(E449:E472)</f>
        <v>5471114.9205</v>
      </c>
      <c r="F473" s="15">
        <f>SUM(F449:F472)</f>
        <v>1039511.834895</v>
      </c>
      <c r="G473" s="16">
        <f>SUM(G449:G472)</f>
        <v>6510626.755395</v>
      </c>
      <c r="H473" s="17">
        <f>SUM(H449:H472)</f>
        <v>3524114.9205</v>
      </c>
      <c r="I473" s="17"/>
      <c r="J473" s="18">
        <f>COUNTIF(J449:J472,TRUE())</f>
        <v>18</v>
      </c>
      <c r="K473" s="19"/>
    </row>
    <row r="474" ht="17.5" customHeight="1">
      <c r="A474" s="20"/>
      <c r="B474" s="5"/>
      <c r="C474" s="20"/>
      <c r="D474" s="21"/>
      <c r="E474" s="20"/>
      <c r="F474" s="20"/>
      <c r="G474" s="20"/>
      <c r="H474" s="22"/>
      <c r="I474" s="22"/>
      <c r="J474" s="20"/>
      <c r="K474" s="20"/>
    </row>
    <row r="475" ht="17" customHeight="1">
      <c r="A475" t="s" s="3">
        <v>1</v>
      </c>
      <c r="B475" t="s" s="3">
        <v>2</v>
      </c>
      <c r="C475" t="s" s="3">
        <v>3</v>
      </c>
      <c r="D475" t="s" s="3">
        <v>4</v>
      </c>
      <c r="E475" t="s" s="3">
        <v>5</v>
      </c>
      <c r="F475" t="s" s="3">
        <v>6</v>
      </c>
      <c r="G475" t="s" s="3">
        <v>7</v>
      </c>
      <c r="H475" s="7"/>
      <c r="I475" s="7"/>
      <c r="J475" s="8"/>
      <c r="K475" s="8"/>
    </row>
    <row r="476" ht="17" customHeight="1">
      <c r="A476" s="4">
        <v>403</v>
      </c>
      <c r="B476" s="5">
        <v>41031</v>
      </c>
      <c r="C476" t="s" s="3">
        <v>22</v>
      </c>
      <c r="D476" t="s" s="3">
        <v>101</v>
      </c>
      <c r="E476" s="6">
        <v>149100</v>
      </c>
      <c r="F476" s="6">
        <f>E476*0.19</f>
        <v>28329</v>
      </c>
      <c r="G476" s="6">
        <f>E476+F476</f>
        <v>177429</v>
      </c>
      <c r="H476" s="7">
        <f>IF(J476=TRUE(),E476,0)</f>
        <v>149100</v>
      </c>
      <c r="I476" s="7">
        <f>IF(K476=TRUE(),E476,0)</f>
        <v>0</v>
      </c>
      <c r="J476" t="b" s="4">
        <v>1</v>
      </c>
      <c r="K476" t="b" s="4">
        <v>0</v>
      </c>
    </row>
    <row r="477" ht="17" customHeight="1">
      <c r="A477" s="4">
        <v>404</v>
      </c>
      <c r="B477" s="5">
        <v>41031</v>
      </c>
      <c r="C477" t="s" s="3">
        <v>56</v>
      </c>
      <c r="D477" t="s" s="3">
        <v>101</v>
      </c>
      <c r="E477" s="6">
        <v>125000</v>
      </c>
      <c r="F477" s="6">
        <f>E477*0.19</f>
        <v>23750</v>
      </c>
      <c r="G477" s="6">
        <f>E477+F477</f>
        <v>148750</v>
      </c>
      <c r="H477" s="7">
        <f>IF(J477=TRUE(),E477,0)</f>
        <v>125000</v>
      </c>
      <c r="I477" s="7">
        <f>IF(K477=TRUE(),E477,0)</f>
        <v>0</v>
      </c>
      <c r="J477" t="b" s="4">
        <v>1</v>
      </c>
      <c r="K477" t="b" s="4">
        <v>0</v>
      </c>
    </row>
    <row r="478" ht="17" customHeight="1">
      <c r="A478" s="4">
        <v>405</v>
      </c>
      <c r="B478" s="5">
        <v>41031</v>
      </c>
      <c r="C478" t="s" s="3">
        <v>42</v>
      </c>
      <c r="D478" t="s" s="3">
        <v>101</v>
      </c>
      <c r="E478" s="6">
        <v>157500</v>
      </c>
      <c r="F478" s="6">
        <f>E478*0.19</f>
        <v>29925</v>
      </c>
      <c r="G478" s="6">
        <f>E478+F478</f>
        <v>187425</v>
      </c>
      <c r="H478" s="7">
        <f>IF(J478=TRUE(),E478,0)</f>
        <v>157500</v>
      </c>
      <c r="I478" s="7">
        <f>IF(K478=TRUE(),E478,0)</f>
        <v>0</v>
      </c>
      <c r="J478" t="b" s="4">
        <v>1</v>
      </c>
      <c r="K478" t="b" s="4">
        <v>0</v>
      </c>
    </row>
    <row r="479" ht="17" customHeight="1">
      <c r="A479" s="4">
        <v>406</v>
      </c>
      <c r="B479" s="5">
        <v>41031</v>
      </c>
      <c r="C479" t="s" s="3">
        <v>34</v>
      </c>
      <c r="D479" t="s" s="3">
        <v>101</v>
      </c>
      <c r="E479" s="6">
        <v>25500</v>
      </c>
      <c r="F479" s="6">
        <f>E479*0.19</f>
        <v>4845</v>
      </c>
      <c r="G479" s="6">
        <f>E479+F479</f>
        <v>30345</v>
      </c>
      <c r="H479" s="7">
        <f>IF(J479=TRUE(),E479,0)</f>
        <v>25500</v>
      </c>
      <c r="I479" s="7">
        <f>IF(K479=TRUE(),E479,0)</f>
        <v>0</v>
      </c>
      <c r="J479" t="b" s="4">
        <v>1</v>
      </c>
      <c r="K479" t="b" s="4">
        <v>0</v>
      </c>
    </row>
    <row r="480" ht="17" customHeight="1">
      <c r="A480" s="4">
        <v>407</v>
      </c>
      <c r="B480" s="5">
        <v>41031</v>
      </c>
      <c r="C480" t="s" s="3">
        <v>60</v>
      </c>
      <c r="D480" t="s" s="3">
        <v>101</v>
      </c>
      <c r="E480" s="6">
        <v>30625</v>
      </c>
      <c r="F480" s="6">
        <f>E480*0.19</f>
        <v>5818.75</v>
      </c>
      <c r="G480" s="6">
        <f>E480+F480</f>
        <v>36443.75</v>
      </c>
      <c r="H480" s="7">
        <f>IF(J480=TRUE(),E480,0)</f>
        <v>30625</v>
      </c>
      <c r="I480" s="7">
        <f>IF(K480=TRUE(),E480,0)</f>
        <v>0</v>
      </c>
      <c r="J480" t="b" s="4">
        <v>1</v>
      </c>
      <c r="K480" t="b" s="4">
        <v>0</v>
      </c>
    </row>
    <row r="481" ht="17" customHeight="1">
      <c r="A481" s="4">
        <v>408</v>
      </c>
      <c r="B481" s="5">
        <v>41031</v>
      </c>
      <c r="C481" t="s" s="3">
        <v>66</v>
      </c>
      <c r="D481" t="s" s="3">
        <v>101</v>
      </c>
      <c r="E481" s="6">
        <v>137825</v>
      </c>
      <c r="F481" s="6">
        <f>E481*0.19</f>
        <v>26186.75</v>
      </c>
      <c r="G481" s="6">
        <f>E481+F481</f>
        <v>164011.75</v>
      </c>
      <c r="H481" s="7">
        <f>IF(J481=TRUE(),E481,0)</f>
        <v>137825</v>
      </c>
      <c r="I481" s="7">
        <f>IF(K481=TRUE(),E481,0)</f>
        <v>0</v>
      </c>
      <c r="J481" t="b" s="4">
        <v>1</v>
      </c>
      <c r="K481" t="b" s="4">
        <v>0</v>
      </c>
    </row>
    <row r="482" ht="17" customHeight="1">
      <c r="A482" s="4">
        <v>409</v>
      </c>
      <c r="B482" s="5">
        <v>41031</v>
      </c>
      <c r="C482" t="s" s="3">
        <v>230</v>
      </c>
      <c r="D482" t="s" s="3">
        <v>101</v>
      </c>
      <c r="E482" s="6">
        <v>203348</v>
      </c>
      <c r="F482" s="6">
        <f>E482*0.19</f>
        <v>38636.12</v>
      </c>
      <c r="G482" s="6">
        <f>E482+F482</f>
        <v>241984.12</v>
      </c>
      <c r="H482" s="7">
        <f>IF(J482=TRUE(),E482,0)</f>
        <v>203348</v>
      </c>
      <c r="I482" s="7">
        <f>IF(K482=TRUE(),E482,0)</f>
        <v>0</v>
      </c>
      <c r="J482" t="b" s="4">
        <v>1</v>
      </c>
      <c r="K482" t="b" s="4">
        <v>0</v>
      </c>
    </row>
    <row r="483" ht="17" customHeight="1">
      <c r="A483" s="4">
        <v>410</v>
      </c>
      <c r="B483" s="5">
        <v>41031</v>
      </c>
      <c r="C483" t="s" s="3">
        <v>241</v>
      </c>
      <c r="D483" t="s" s="3">
        <v>101</v>
      </c>
      <c r="E483" s="6">
        <v>109130</v>
      </c>
      <c r="F483" s="6">
        <f>E483*0.19</f>
        <v>20734.7</v>
      </c>
      <c r="G483" s="6">
        <f>E483+F483</f>
        <v>129864.7</v>
      </c>
      <c r="H483" s="7">
        <f>IF(J483=TRUE(),E483,0)</f>
        <v>109130</v>
      </c>
      <c r="I483" s="7">
        <f>IF(K483=TRUE(),E483,0)</f>
        <v>0</v>
      </c>
      <c r="J483" t="b" s="4">
        <v>1</v>
      </c>
      <c r="K483" t="b" s="4">
        <v>0</v>
      </c>
    </row>
    <row r="484" ht="17" customHeight="1">
      <c r="A484" s="4">
        <v>411</v>
      </c>
      <c r="B484" s="5">
        <v>41031</v>
      </c>
      <c r="C484" t="s" s="3">
        <v>268</v>
      </c>
      <c r="D484" t="s" s="3">
        <v>101</v>
      </c>
      <c r="E484" s="6">
        <v>50837</v>
      </c>
      <c r="F484" s="6">
        <f>E484*0.19</f>
        <v>9659.030000000001</v>
      </c>
      <c r="G484" s="6">
        <f>E484+F484</f>
        <v>60496.03</v>
      </c>
      <c r="H484" s="7">
        <f>IF(J484=TRUE(),E484,0)</f>
        <v>50837</v>
      </c>
      <c r="I484" s="7">
        <f>IF(K484=TRUE(),E484,0)</f>
        <v>0</v>
      </c>
      <c r="J484" t="b" s="4">
        <v>1</v>
      </c>
      <c r="K484" t="b" s="4">
        <v>0</v>
      </c>
    </row>
    <row r="485" ht="17" customHeight="1">
      <c r="A485" s="4">
        <v>412</v>
      </c>
      <c r="B485" s="5">
        <v>41031</v>
      </c>
      <c r="C485" t="s" s="3">
        <v>120</v>
      </c>
      <c r="D485" t="s" s="3">
        <v>101</v>
      </c>
      <c r="E485" s="6">
        <v>432905</v>
      </c>
      <c r="F485" s="6">
        <f>E485*0.19</f>
        <v>82251.95</v>
      </c>
      <c r="G485" s="6">
        <f>E485+F485</f>
        <v>515156.95</v>
      </c>
      <c r="H485" s="7">
        <f>IF(J485=TRUE(),E485,0)</f>
        <v>432905</v>
      </c>
      <c r="I485" s="7">
        <f>IF(K485=TRUE(),E485,0)</f>
        <v>0</v>
      </c>
      <c r="J485" t="b" s="4">
        <v>1</v>
      </c>
      <c r="K485" t="b" s="4">
        <v>0</v>
      </c>
    </row>
    <row r="486" ht="17" customHeight="1">
      <c r="A486" s="4">
        <v>413</v>
      </c>
      <c r="B486" s="5">
        <v>41031</v>
      </c>
      <c r="C486" t="s" s="3">
        <v>127</v>
      </c>
      <c r="D486" t="s" s="3">
        <v>101</v>
      </c>
      <c r="E486" s="6">
        <v>492554</v>
      </c>
      <c r="F486" s="6">
        <f>E486*0.19</f>
        <v>93585.259999999995</v>
      </c>
      <c r="G486" s="6">
        <f>E486+F486</f>
        <v>586139.26</v>
      </c>
      <c r="H486" s="7">
        <f>IF(J486=TRUE(),E486,0)</f>
        <v>492554</v>
      </c>
      <c r="I486" s="7">
        <f>IF(K486=TRUE(),E486,0)</f>
        <v>0</v>
      </c>
      <c r="J486" t="b" s="4">
        <v>1</v>
      </c>
      <c r="K486" t="b" s="4">
        <v>0</v>
      </c>
    </row>
    <row r="487" ht="17" customHeight="1">
      <c r="A487" s="4">
        <v>414</v>
      </c>
      <c r="B487" s="5">
        <v>41043</v>
      </c>
      <c r="C487" t="s" s="3">
        <v>58</v>
      </c>
      <c r="D487" t="s" s="3">
        <v>283</v>
      </c>
      <c r="E487" s="6">
        <v>167950</v>
      </c>
      <c r="F487" s="6">
        <f>E487*0.19</f>
        <v>31910.5</v>
      </c>
      <c r="G487" s="6">
        <f>E487+F487</f>
        <v>199860.5</v>
      </c>
      <c r="H487" s="7">
        <f>IF(J487=TRUE(),E487,0)</f>
        <v>0</v>
      </c>
      <c r="I487" s="7">
        <f>IF(K487=TRUE(),E487,0)</f>
        <v>0</v>
      </c>
      <c r="J487" t="b" s="4">
        <v>0</v>
      </c>
      <c r="K487" t="b" s="4">
        <v>0</v>
      </c>
    </row>
    <row r="488" ht="17" customHeight="1">
      <c r="A488" s="4">
        <v>415</v>
      </c>
      <c r="B488" s="5">
        <v>41030</v>
      </c>
      <c r="C488" t="s" s="3">
        <v>40</v>
      </c>
      <c r="D488" t="s" s="3">
        <v>284</v>
      </c>
      <c r="E488" s="6">
        <v>402984</v>
      </c>
      <c r="F488" s="6">
        <f>E488*0.19</f>
        <v>76566.960000000006</v>
      </c>
      <c r="G488" s="6">
        <f>E488+F488</f>
        <v>479550.96</v>
      </c>
      <c r="H488" s="7">
        <f>IF(J488=TRUE(),E488,0)</f>
        <v>0</v>
      </c>
      <c r="I488" s="7">
        <f>IF(K488=TRUE(),E488,0)</f>
        <v>0</v>
      </c>
      <c r="J488" t="b" s="4">
        <v>0</v>
      </c>
      <c r="K488" t="b" s="4">
        <v>0</v>
      </c>
    </row>
    <row r="489" ht="17" customHeight="1">
      <c r="A489" s="4">
        <v>416</v>
      </c>
      <c r="B489" s="5">
        <v>41030</v>
      </c>
      <c r="C489" t="s" s="3">
        <v>92</v>
      </c>
      <c r="D489" t="s" s="3">
        <v>84</v>
      </c>
      <c r="E489" s="6">
        <v>627000</v>
      </c>
      <c r="F489" s="6">
        <f>E489*0.19</f>
        <v>119130</v>
      </c>
      <c r="G489" s="6">
        <f>E489+F489</f>
        <v>746130</v>
      </c>
      <c r="H489" s="7">
        <f>IF(J489=TRUE(),E489,0)</f>
        <v>627000</v>
      </c>
      <c r="I489" s="7">
        <f>IF(K489=TRUE(),E489,0)</f>
        <v>0</v>
      </c>
      <c r="J489" t="b" s="4">
        <v>1</v>
      </c>
      <c r="K489" t="b" s="4">
        <v>0</v>
      </c>
    </row>
    <row r="490" ht="17" customHeight="1">
      <c r="A490" s="4">
        <v>417</v>
      </c>
      <c r="B490" s="5">
        <v>41030</v>
      </c>
      <c r="C490" t="s" s="3">
        <v>98</v>
      </c>
      <c r="D490" t="s" s="3">
        <v>84</v>
      </c>
      <c r="E490" s="6">
        <v>264000</v>
      </c>
      <c r="F490" s="6">
        <f>E490*0.19</f>
        <v>50160</v>
      </c>
      <c r="G490" s="6">
        <f>E490+F490</f>
        <v>314160</v>
      </c>
      <c r="H490" s="7">
        <f>IF(J490=TRUE(),E490,0)</f>
        <v>264000</v>
      </c>
      <c r="I490" s="7">
        <f>IF(K490=TRUE(),E490,0)</f>
        <v>0</v>
      </c>
      <c r="J490" t="b" s="4">
        <v>1</v>
      </c>
      <c r="K490" t="b" s="4">
        <v>0</v>
      </c>
    </row>
    <row r="491" ht="17" customHeight="1">
      <c r="A491" s="4">
        <v>419</v>
      </c>
      <c r="B491" s="5">
        <v>41058</v>
      </c>
      <c r="C491" t="s" s="3">
        <v>10</v>
      </c>
      <c r="D491" t="s" s="3">
        <v>285</v>
      </c>
      <c r="E491" s="6">
        <v>90000</v>
      </c>
      <c r="F491" s="6">
        <f>E491*0.19</f>
        <v>17100</v>
      </c>
      <c r="G491" s="6">
        <f>E491+F491</f>
        <v>107100</v>
      </c>
      <c r="H491" s="7">
        <f>IF(J491=TRUE(),E491,0)</f>
        <v>0</v>
      </c>
      <c r="I491" s="7">
        <f>IF(K491=TRUE(),E491,0)</f>
        <v>0</v>
      </c>
      <c r="J491" t="b" s="4">
        <v>0</v>
      </c>
      <c r="K491" t="b" s="4">
        <v>0</v>
      </c>
    </row>
    <row r="492" ht="17" customHeight="1">
      <c r="A492" s="4">
        <v>420</v>
      </c>
      <c r="B492" s="5">
        <v>41058</v>
      </c>
      <c r="C492" t="s" s="3">
        <v>36</v>
      </c>
      <c r="D492" t="s" s="3">
        <v>286</v>
      </c>
      <c r="E492" s="6">
        <v>25000</v>
      </c>
      <c r="F492" s="6">
        <f>E492*0.19</f>
        <v>4750</v>
      </c>
      <c r="G492" s="6">
        <f>E492+F492</f>
        <v>29750</v>
      </c>
      <c r="H492" s="7">
        <f>IF(J492=TRUE(),E492,0)</f>
        <v>0</v>
      </c>
      <c r="I492" s="7">
        <f>IF(K492=TRUE(),E492,0)</f>
        <v>0</v>
      </c>
      <c r="J492" t="b" s="4">
        <v>0</v>
      </c>
      <c r="K492" t="b" s="4">
        <v>0</v>
      </c>
    </row>
    <row r="493" ht="17" customHeight="1">
      <c r="A493" s="4">
        <v>421</v>
      </c>
      <c r="B493" s="5">
        <v>41058</v>
      </c>
      <c r="C493" t="s" s="3">
        <v>36</v>
      </c>
      <c r="D493" t="s" s="3">
        <v>101</v>
      </c>
      <c r="E493" s="6">
        <v>134585</v>
      </c>
      <c r="F493" s="6">
        <f>E493*0.19</f>
        <v>25571.15</v>
      </c>
      <c r="G493" s="6">
        <f>E493+F493</f>
        <v>160156.15</v>
      </c>
      <c r="H493" s="7">
        <f>IF(J493=TRUE(),E493,0)</f>
        <v>134585</v>
      </c>
      <c r="I493" s="7">
        <f>IF(K493=TRUE(),E493,0)</f>
        <v>0</v>
      </c>
      <c r="J493" t="b" s="4">
        <v>1</v>
      </c>
      <c r="K493" t="b" s="4">
        <v>0</v>
      </c>
    </row>
    <row r="494" ht="17" customHeight="1">
      <c r="A494" s="4">
        <v>422</v>
      </c>
      <c r="B494" s="5">
        <v>41058</v>
      </c>
      <c r="C494" t="s" s="3">
        <v>127</v>
      </c>
      <c r="D494" t="s" s="3">
        <v>287</v>
      </c>
      <c r="E494" s="6">
        <v>119000</v>
      </c>
      <c r="F494" s="6">
        <f>E494*0.19</f>
        <v>22610</v>
      </c>
      <c r="G494" s="6">
        <f>E494+F494</f>
        <v>141610</v>
      </c>
      <c r="H494" s="7">
        <f>IF(J494=TRUE(),E494,0)</f>
        <v>0</v>
      </c>
      <c r="I494" s="7">
        <f>IF(K494=TRUE(),E494,0)</f>
        <v>0</v>
      </c>
      <c r="J494" t="b" s="4">
        <v>0</v>
      </c>
      <c r="K494" t="b" s="4">
        <v>0</v>
      </c>
    </row>
    <row r="495" ht="17" customHeight="1">
      <c r="A495" s="4">
        <v>423</v>
      </c>
      <c r="B495" s="5">
        <v>41031</v>
      </c>
      <c r="C495" t="s" s="3">
        <v>92</v>
      </c>
      <c r="D495" t="s" s="3">
        <v>101</v>
      </c>
      <c r="E495" s="6">
        <v>627000</v>
      </c>
      <c r="F495" s="6">
        <f>E495*0.19</f>
        <v>119130</v>
      </c>
      <c r="G495" s="6">
        <f>E495+F495</f>
        <v>746130</v>
      </c>
      <c r="H495" s="7">
        <f>IF(J495=TRUE(),E495,0)</f>
        <v>627000</v>
      </c>
      <c r="I495" s="7">
        <f>IF(K495=TRUE(),E495,0)</f>
        <v>0</v>
      </c>
      <c r="J495" t="b" s="4">
        <v>1</v>
      </c>
      <c r="K495" t="b" s="4">
        <v>0</v>
      </c>
    </row>
    <row r="496" ht="17" customHeight="1">
      <c r="A496" s="4">
        <v>424</v>
      </c>
      <c r="B496" s="5">
        <v>41031</v>
      </c>
      <c r="C496" t="s" s="3">
        <v>98</v>
      </c>
      <c r="D496" t="s" s="3">
        <v>101</v>
      </c>
      <c r="E496" s="6">
        <v>297000</v>
      </c>
      <c r="F496" s="6">
        <f>E496*0.19</f>
        <v>56430</v>
      </c>
      <c r="G496" s="6">
        <f>E496+F496</f>
        <v>353430</v>
      </c>
      <c r="H496" s="7">
        <f>IF(J496=TRUE(),E496,0)</f>
        <v>297000</v>
      </c>
      <c r="I496" s="7">
        <f>IF(K496=TRUE(),E496,0)</f>
        <v>0</v>
      </c>
      <c r="J496" t="b" s="4">
        <v>1</v>
      </c>
      <c r="K496" t="b" s="4">
        <v>0</v>
      </c>
    </row>
    <row r="497" ht="17.5" customHeight="1">
      <c r="A497" s="9">
        <v>425</v>
      </c>
      <c r="B497" s="5">
        <v>41031</v>
      </c>
      <c r="C497" t="s" s="10">
        <v>40</v>
      </c>
      <c r="D497" t="s" s="10">
        <v>101</v>
      </c>
      <c r="E497" s="11">
        <v>158000</v>
      </c>
      <c r="F497" s="11">
        <f>E497*0.19</f>
        <v>30020</v>
      </c>
      <c r="G497" s="11">
        <f>E497+F497</f>
        <v>188020</v>
      </c>
      <c r="H497" s="12">
        <f>IF(J497=TRUE(),E497,0)</f>
        <v>158000</v>
      </c>
      <c r="I497" s="12">
        <f>IF(K497=TRUE(),E497,0)</f>
        <v>0</v>
      </c>
      <c r="J497" t="b" s="9">
        <v>1</v>
      </c>
      <c r="K497" t="b" s="9">
        <v>0</v>
      </c>
    </row>
    <row r="498" ht="18" customHeight="1">
      <c r="A498" s="13">
        <f>COUNT(A476:A497)</f>
        <v>22</v>
      </c>
      <c r="B498" t="s" s="3">
        <v>288</v>
      </c>
      <c r="C498" t="s" s="14">
        <v>7</v>
      </c>
      <c r="D498" s="14"/>
      <c r="E498" s="15">
        <f>SUM(E476:E497)</f>
        <v>4826843</v>
      </c>
      <c r="F498" s="15">
        <f>SUM(F476:F497)</f>
        <v>917100.17</v>
      </c>
      <c r="G498" s="16">
        <f>SUM(G476:G497)</f>
        <v>5743943.17</v>
      </c>
      <c r="H498" s="17">
        <f>SUM(H476:H497)</f>
        <v>4021909</v>
      </c>
      <c r="I498" s="17"/>
      <c r="J498" s="18">
        <f>COUNTIF(J476:J497,TRUE())</f>
        <v>17</v>
      </c>
      <c r="K498" s="19"/>
    </row>
    <row r="499" ht="17.5" customHeight="1">
      <c r="A499" s="20"/>
      <c r="B499" s="5"/>
      <c r="C499" s="20"/>
      <c r="D499" s="21"/>
      <c r="E499" s="20"/>
      <c r="F499" s="20"/>
      <c r="G499" s="20"/>
      <c r="H499" s="22"/>
      <c r="I499" s="22"/>
      <c r="J499" s="20"/>
      <c r="K499" s="20"/>
    </row>
    <row r="500" ht="17" customHeight="1">
      <c r="A500" t="s" s="3">
        <v>1</v>
      </c>
      <c r="B500" t="s" s="3">
        <v>2</v>
      </c>
      <c r="C500" t="s" s="3">
        <v>3</v>
      </c>
      <c r="D500" t="s" s="3">
        <v>4</v>
      </c>
      <c r="E500" t="s" s="3">
        <v>5</v>
      </c>
      <c r="F500" t="s" s="3">
        <v>6</v>
      </c>
      <c r="G500" t="s" s="3">
        <v>7</v>
      </c>
      <c r="H500" s="7"/>
      <c r="I500" s="7"/>
      <c r="J500" s="8"/>
      <c r="K500" s="8"/>
    </row>
    <row r="501" ht="17" customHeight="1">
      <c r="A501" s="4">
        <v>426</v>
      </c>
      <c r="B501" s="5">
        <v>41061</v>
      </c>
      <c r="C501" t="s" s="3">
        <v>22</v>
      </c>
      <c r="D501" t="s" s="3">
        <v>122</v>
      </c>
      <c r="E501" s="6">
        <v>149100</v>
      </c>
      <c r="F501" s="6">
        <f>E501*0.19</f>
        <v>28329</v>
      </c>
      <c r="G501" s="6">
        <f>E501+F501</f>
        <v>177429</v>
      </c>
      <c r="H501" s="7">
        <f>IF(J501=TRUE(),E501,0)</f>
        <v>149100</v>
      </c>
      <c r="I501" s="7">
        <f>IF(K501=TRUE(),E501,0)</f>
        <v>0</v>
      </c>
      <c r="J501" t="b" s="4">
        <v>1</v>
      </c>
      <c r="K501" t="b" s="4">
        <v>0</v>
      </c>
    </row>
    <row r="502" ht="17" customHeight="1">
      <c r="A502" s="4">
        <v>427</v>
      </c>
      <c r="B502" s="5">
        <v>41061</v>
      </c>
      <c r="C502" t="s" s="3">
        <v>56</v>
      </c>
      <c r="D502" t="s" s="3">
        <v>122</v>
      </c>
      <c r="E502" s="6">
        <v>125000</v>
      </c>
      <c r="F502" s="6">
        <f>E502*0.19</f>
        <v>23750</v>
      </c>
      <c r="G502" s="6">
        <f>E502+F502</f>
        <v>148750</v>
      </c>
      <c r="H502" s="7">
        <f>IF(J502=TRUE(),E502,0)</f>
        <v>125000</v>
      </c>
      <c r="I502" s="7">
        <f>IF(K502=TRUE(),E502,0)</f>
        <v>0</v>
      </c>
      <c r="J502" t="b" s="4">
        <v>1</v>
      </c>
      <c r="K502" t="b" s="4">
        <v>0</v>
      </c>
    </row>
    <row r="503" ht="17" customHeight="1">
      <c r="A503" s="4">
        <v>428</v>
      </c>
      <c r="B503" s="5">
        <v>41061</v>
      </c>
      <c r="C503" t="s" s="3">
        <v>42</v>
      </c>
      <c r="D503" t="s" s="3">
        <v>122</v>
      </c>
      <c r="E503" s="6">
        <v>222596</v>
      </c>
      <c r="F503" s="6">
        <f>E503*0.19</f>
        <v>42293.24</v>
      </c>
      <c r="G503" s="6">
        <f>E503+F503</f>
        <v>264889.24</v>
      </c>
      <c r="H503" s="7">
        <f>IF(J503=TRUE(),E503,0)</f>
        <v>222596</v>
      </c>
      <c r="I503" s="7">
        <f>IF(K503=TRUE(),E503,0)</f>
        <v>0</v>
      </c>
      <c r="J503" t="b" s="4">
        <v>1</v>
      </c>
      <c r="K503" t="b" s="4">
        <v>0</v>
      </c>
    </row>
    <row r="504" ht="17" customHeight="1">
      <c r="A504" s="4">
        <v>429</v>
      </c>
      <c r="B504" s="5">
        <v>41061</v>
      </c>
      <c r="C504" t="s" s="3">
        <v>34</v>
      </c>
      <c r="D504" t="s" s="3">
        <v>122</v>
      </c>
      <c r="E504" s="6">
        <v>35290</v>
      </c>
      <c r="F504" s="6">
        <f>E504*0.19</f>
        <v>6705.1</v>
      </c>
      <c r="G504" s="6">
        <f>E504+F504</f>
        <v>41995.1</v>
      </c>
      <c r="H504" s="7">
        <f>IF(J504=TRUE(),E504,0)</f>
        <v>35290</v>
      </c>
      <c r="I504" s="7">
        <f>IF(K504=TRUE(),E504,0)</f>
        <v>0</v>
      </c>
      <c r="J504" t="b" s="4">
        <v>1</v>
      </c>
      <c r="K504" t="b" s="4">
        <v>0</v>
      </c>
    </row>
    <row r="505" ht="17" customHeight="1">
      <c r="A505" s="4">
        <v>430</v>
      </c>
      <c r="B505" s="5">
        <v>41061</v>
      </c>
      <c r="C505" t="s" s="3">
        <v>60</v>
      </c>
      <c r="D505" t="s" s="3">
        <v>122</v>
      </c>
      <c r="E505" s="6">
        <v>51577</v>
      </c>
      <c r="F505" s="6">
        <f>E505*0.19</f>
        <v>9799.630000000001</v>
      </c>
      <c r="G505" s="6">
        <f>E505+F505</f>
        <v>61376.63</v>
      </c>
      <c r="H505" s="7">
        <f>IF(J505=TRUE(),E505,0)</f>
        <v>51577</v>
      </c>
      <c r="I505" s="7">
        <f>IF(K505=TRUE(),E505,0)</f>
        <v>0</v>
      </c>
      <c r="J505" t="b" s="4">
        <v>1</v>
      </c>
      <c r="K505" t="b" s="4">
        <v>0</v>
      </c>
    </row>
    <row r="506" ht="17" customHeight="1">
      <c r="A506" s="4">
        <v>431</v>
      </c>
      <c r="B506" s="5">
        <v>41061</v>
      </c>
      <c r="C506" t="s" s="3">
        <v>66</v>
      </c>
      <c r="D506" t="s" s="3">
        <v>122</v>
      </c>
      <c r="E506" s="6">
        <v>137991</v>
      </c>
      <c r="F506" s="6">
        <f>E506*0.19</f>
        <v>26218.29</v>
      </c>
      <c r="G506" s="6">
        <f>E506+F506</f>
        <v>164209.29</v>
      </c>
      <c r="H506" s="7">
        <f>IF(J506=TRUE(),E506,0)</f>
        <v>137991</v>
      </c>
      <c r="I506" s="7">
        <f>IF(K506=TRUE(),E506,0)</f>
        <v>0</v>
      </c>
      <c r="J506" t="b" s="4">
        <v>1</v>
      </c>
      <c r="K506" t="b" s="4">
        <v>0</v>
      </c>
    </row>
    <row r="507" ht="17" customHeight="1">
      <c r="A507" s="4">
        <v>432</v>
      </c>
      <c r="B507" s="5">
        <v>41061</v>
      </c>
      <c r="C507" t="s" s="3">
        <v>230</v>
      </c>
      <c r="D507" t="s" s="3">
        <v>122</v>
      </c>
      <c r="E507" s="6">
        <v>22622</v>
      </c>
      <c r="F507" s="6">
        <f>E507*0.19</f>
        <v>4298.18</v>
      </c>
      <c r="G507" s="6">
        <f>E507+F507</f>
        <v>26920.18</v>
      </c>
      <c r="H507" s="7">
        <f>IF(J507=TRUE(),E507,0)</f>
        <v>22622</v>
      </c>
      <c r="I507" s="7">
        <f>IF(K507=TRUE(),E507,0)</f>
        <v>0</v>
      </c>
      <c r="J507" t="b" s="4">
        <v>1</v>
      </c>
      <c r="K507" t="b" s="4">
        <v>0</v>
      </c>
    </row>
    <row r="508" ht="17" customHeight="1">
      <c r="A508" s="4">
        <v>433</v>
      </c>
      <c r="B508" s="5">
        <v>41061</v>
      </c>
      <c r="C508" t="s" s="3">
        <v>241</v>
      </c>
      <c r="D508" t="s" s="3">
        <v>122</v>
      </c>
      <c r="E508" s="6">
        <v>109262</v>
      </c>
      <c r="F508" s="6">
        <f>E508*0.19</f>
        <v>20759.78</v>
      </c>
      <c r="G508" s="6">
        <f>E508+F508</f>
        <v>130021.78</v>
      </c>
      <c r="H508" s="7">
        <f>IF(J508=TRUE(),E508,0)</f>
        <v>109262</v>
      </c>
      <c r="I508" s="7">
        <f>IF(K508=TRUE(),E508,0)</f>
        <v>0</v>
      </c>
      <c r="J508" t="b" s="4">
        <v>1</v>
      </c>
      <c r="K508" t="b" s="4">
        <v>0</v>
      </c>
    </row>
    <row r="509" ht="17" customHeight="1">
      <c r="A509" s="4">
        <v>434</v>
      </c>
      <c r="B509" s="5">
        <v>41061</v>
      </c>
      <c r="C509" t="s" s="3">
        <v>268</v>
      </c>
      <c r="D509" t="s" s="3">
        <v>122</v>
      </c>
      <c r="E509" s="6">
        <v>50898</v>
      </c>
      <c r="F509" s="6">
        <f>E509*0.19</f>
        <v>9670.620000000001</v>
      </c>
      <c r="G509" s="6">
        <f>E509+F509</f>
        <v>60568.62</v>
      </c>
      <c r="H509" s="7">
        <f>IF(J509=TRUE(),E509,0)</f>
        <v>50898</v>
      </c>
      <c r="I509" s="7">
        <f>IF(K509=TRUE(),E509,0)</f>
        <v>0</v>
      </c>
      <c r="J509" t="b" s="4">
        <v>1</v>
      </c>
      <c r="K509" t="b" s="4">
        <v>0</v>
      </c>
    </row>
    <row r="510" ht="17" customHeight="1">
      <c r="A510" s="4">
        <v>435</v>
      </c>
      <c r="B510" s="5">
        <v>41061</v>
      </c>
      <c r="C510" t="s" s="3">
        <v>120</v>
      </c>
      <c r="D510" t="s" s="3">
        <v>122</v>
      </c>
      <c r="E510" s="6">
        <v>455145</v>
      </c>
      <c r="F510" s="6">
        <f>E510*0.19</f>
        <v>86477.55</v>
      </c>
      <c r="G510" s="6">
        <f>E510+F510</f>
        <v>541622.55</v>
      </c>
      <c r="H510" s="7">
        <f>IF(J510=TRUE(),E510,0)</f>
        <v>455145</v>
      </c>
      <c r="I510" s="7">
        <f>IF(K510=TRUE(),E510,0)</f>
        <v>0</v>
      </c>
      <c r="J510" t="b" s="4">
        <v>1</v>
      </c>
      <c r="K510" t="b" s="4">
        <v>0</v>
      </c>
    </row>
    <row r="511" ht="17" customHeight="1">
      <c r="A511" s="4">
        <v>436</v>
      </c>
      <c r="B511" s="5">
        <v>41061</v>
      </c>
      <c r="C511" t="s" s="3">
        <v>127</v>
      </c>
      <c r="D511" t="s" s="3">
        <v>122</v>
      </c>
      <c r="E511" s="6">
        <v>493602</v>
      </c>
      <c r="F511" s="6">
        <f>E511*0.19</f>
        <v>93784.38</v>
      </c>
      <c r="G511" s="6">
        <f>E511+F511</f>
        <v>587386.38</v>
      </c>
      <c r="H511" s="7">
        <f>IF(J511=TRUE(),E511,0)</f>
        <v>493602</v>
      </c>
      <c r="I511" s="7">
        <f>IF(K511=TRUE(),E511,0)</f>
        <v>0</v>
      </c>
      <c r="J511" t="b" s="4">
        <v>1</v>
      </c>
      <c r="K511" t="b" s="4">
        <v>0</v>
      </c>
    </row>
    <row r="512" ht="17" customHeight="1">
      <c r="A512" s="4">
        <v>437</v>
      </c>
      <c r="B512" s="5">
        <v>41061</v>
      </c>
      <c r="C512" t="s" s="3">
        <v>40</v>
      </c>
      <c r="D512" t="s" s="3">
        <v>122</v>
      </c>
      <c r="E512" s="6">
        <v>158000</v>
      </c>
      <c r="F512" s="6">
        <f>E512*0.19</f>
        <v>30020</v>
      </c>
      <c r="G512" s="6">
        <f>E512+F512</f>
        <v>188020</v>
      </c>
      <c r="H512" s="7">
        <f>IF(J512=TRUE(),E512,0)</f>
        <v>158000</v>
      </c>
      <c r="I512" s="7">
        <f>IF(K512=TRUE(),E512,0)</f>
        <v>0</v>
      </c>
      <c r="J512" t="b" s="4">
        <v>1</v>
      </c>
      <c r="K512" t="b" s="4">
        <v>0</v>
      </c>
    </row>
    <row r="513" ht="17" customHeight="1">
      <c r="A513" s="4">
        <v>438</v>
      </c>
      <c r="B513" s="5">
        <v>41061</v>
      </c>
      <c r="C513" t="s" s="3">
        <v>40</v>
      </c>
      <c r="D513" t="s" s="3">
        <v>289</v>
      </c>
      <c r="E513" s="6">
        <v>402984</v>
      </c>
      <c r="F513" s="6">
        <f>E513*0.19</f>
        <v>76566.960000000006</v>
      </c>
      <c r="G513" s="6">
        <f>E513+F513</f>
        <v>479550.96</v>
      </c>
      <c r="H513" s="7">
        <f>IF(J513=TRUE(),E513,0)</f>
        <v>0</v>
      </c>
      <c r="I513" s="7">
        <f>IF(K513=TRUE(),E513,0)</f>
        <v>0</v>
      </c>
      <c r="J513" t="b" s="4">
        <v>0</v>
      </c>
      <c r="K513" t="b" s="4">
        <v>0</v>
      </c>
    </row>
    <row r="514" ht="17" customHeight="1">
      <c r="A514" s="4">
        <v>439</v>
      </c>
      <c r="B514" s="5">
        <v>41074</v>
      </c>
      <c r="C514" t="s" s="3">
        <v>10</v>
      </c>
      <c r="D514" t="s" s="3">
        <v>290</v>
      </c>
      <c r="E514" s="6">
        <v>87300</v>
      </c>
      <c r="F514" s="6">
        <f>E514*0.19</f>
        <v>16587</v>
      </c>
      <c r="G514" s="6">
        <f>E514+F514</f>
        <v>103887</v>
      </c>
      <c r="H514" s="7">
        <f>IF(J514=TRUE(),E514,0)</f>
        <v>0</v>
      </c>
      <c r="I514" s="7">
        <f>IF(K514=TRUE(),E514,0)</f>
        <v>0</v>
      </c>
      <c r="J514" t="b" s="4">
        <v>0</v>
      </c>
      <c r="K514" t="b" s="4">
        <v>0</v>
      </c>
    </row>
    <row r="515" ht="17.5" customHeight="1">
      <c r="A515" s="9">
        <v>440</v>
      </c>
      <c r="B515" s="5">
        <v>41074</v>
      </c>
      <c r="C515" t="s" s="10">
        <v>10</v>
      </c>
      <c r="D515" t="s" s="10">
        <v>291</v>
      </c>
      <c r="E515" s="11">
        <v>583000</v>
      </c>
      <c r="F515" s="11">
        <f>E515*0.19</f>
        <v>110770</v>
      </c>
      <c r="G515" s="11">
        <f>E515+F515</f>
        <v>693770</v>
      </c>
      <c r="H515" s="12">
        <f>IF(J515=TRUE(),E515,0)</f>
        <v>0</v>
      </c>
      <c r="I515" s="12">
        <f>IF(K515=TRUE(),E515,0)</f>
        <v>0</v>
      </c>
      <c r="J515" t="b" s="9">
        <v>0</v>
      </c>
      <c r="K515" t="b" s="9">
        <v>0</v>
      </c>
    </row>
    <row r="516" ht="18" customHeight="1">
      <c r="A516" s="13">
        <f>COUNT(A501:A515)</f>
        <v>15</v>
      </c>
      <c r="B516" t="s" s="3">
        <v>292</v>
      </c>
      <c r="C516" t="s" s="14">
        <v>7</v>
      </c>
      <c r="D516" s="14"/>
      <c r="E516" s="15">
        <f>SUM(E501:E515)</f>
        <v>3084367</v>
      </c>
      <c r="F516" s="15">
        <f>SUM(F501:F515)</f>
        <v>586029.73</v>
      </c>
      <c r="G516" s="16">
        <f>SUM(G501:G515)</f>
        <v>3670396.73</v>
      </c>
      <c r="H516" s="17">
        <f>SUM(H501:H515)</f>
        <v>2011083</v>
      </c>
      <c r="I516" s="17"/>
      <c r="J516" s="18">
        <f>COUNTIF(J501:J515,TRUE())</f>
        <v>12</v>
      </c>
      <c r="K516" s="19"/>
    </row>
    <row r="517" ht="17.5" customHeight="1">
      <c r="A517" s="20"/>
      <c r="B517" s="5"/>
      <c r="C517" s="20"/>
      <c r="D517" s="21"/>
      <c r="E517" s="20"/>
      <c r="F517" s="20"/>
      <c r="G517" s="20"/>
      <c r="H517" s="22"/>
      <c r="I517" s="22"/>
      <c r="J517" s="20"/>
      <c r="K517" s="20"/>
    </row>
    <row r="518" ht="17" customHeight="1">
      <c r="A518" t="s" s="3">
        <v>1</v>
      </c>
      <c r="B518" t="s" s="3">
        <v>2</v>
      </c>
      <c r="C518" t="s" s="3">
        <v>3</v>
      </c>
      <c r="D518" t="s" s="3">
        <v>4</v>
      </c>
      <c r="E518" t="s" s="3">
        <v>5</v>
      </c>
      <c r="F518" t="s" s="3">
        <v>6</v>
      </c>
      <c r="G518" t="s" s="3">
        <v>7</v>
      </c>
      <c r="H518" s="7"/>
      <c r="I518" s="7"/>
      <c r="J518" s="8"/>
      <c r="K518" s="8"/>
    </row>
    <row r="519" ht="17" customHeight="1">
      <c r="A519" s="4">
        <v>441</v>
      </c>
      <c r="B519" s="5">
        <v>41091</v>
      </c>
      <c r="C519" t="s" s="3">
        <v>293</v>
      </c>
      <c r="D519" t="s" s="3">
        <v>294</v>
      </c>
      <c r="E519" s="6">
        <v>380000</v>
      </c>
      <c r="F519" s="6">
        <f>E519*0.19</f>
        <v>72200</v>
      </c>
      <c r="G519" s="6">
        <f>E519+F519</f>
        <v>452200</v>
      </c>
      <c r="H519" s="7">
        <f>IF(J519=TRUE(),E519,0)</f>
        <v>0</v>
      </c>
      <c r="I519" s="7">
        <f>IF(K519=TRUE(),E519,0)</f>
        <v>0</v>
      </c>
      <c r="J519" t="b" s="4">
        <v>0</v>
      </c>
      <c r="K519" t="b" s="4">
        <v>0</v>
      </c>
    </row>
    <row r="520" ht="17" customHeight="1">
      <c r="A520" s="4">
        <v>442</v>
      </c>
      <c r="B520" s="5">
        <v>41091</v>
      </c>
      <c r="C520" t="s" s="3">
        <v>295</v>
      </c>
      <c r="D520" t="s" s="3">
        <v>89</v>
      </c>
      <c r="E520" s="6">
        <v>165000</v>
      </c>
      <c r="F520" s="6">
        <f>E520*0.19</f>
        <v>31350</v>
      </c>
      <c r="G520" s="6">
        <f>E520+F520</f>
        <v>196350</v>
      </c>
      <c r="H520" s="7">
        <f>IF(J520=TRUE(),E520,0)</f>
        <v>0</v>
      </c>
      <c r="I520" s="7">
        <f>IF(K520=TRUE(),E520,0)</f>
        <v>0</v>
      </c>
      <c r="J520" t="b" s="4">
        <v>0</v>
      </c>
      <c r="K520" t="b" s="4">
        <v>0</v>
      </c>
    </row>
    <row r="521" ht="17" customHeight="1">
      <c r="A521" s="4">
        <v>443</v>
      </c>
      <c r="B521" s="5">
        <v>41091</v>
      </c>
      <c r="C521" t="s" s="3">
        <v>198</v>
      </c>
      <c r="D521" t="s" s="3">
        <v>89</v>
      </c>
      <c r="E521" s="6">
        <v>125000</v>
      </c>
      <c r="F521" s="6">
        <f>E521*0.19</f>
        <v>23750</v>
      </c>
      <c r="G521" s="6">
        <f>E521+F521</f>
        <v>148750</v>
      </c>
      <c r="H521" s="7">
        <f>IF(J521=TRUE(),E521,0)</f>
        <v>0</v>
      </c>
      <c r="I521" s="7">
        <f>IF(K521=TRUE(),E521,0)</f>
        <v>0</v>
      </c>
      <c r="J521" t="b" s="4">
        <v>0</v>
      </c>
      <c r="K521" t="b" s="4">
        <v>0</v>
      </c>
    </row>
    <row r="522" ht="17" customHeight="1">
      <c r="A522" s="4">
        <v>444</v>
      </c>
      <c r="B522" s="5">
        <v>41091</v>
      </c>
      <c r="C522" t="s" s="3">
        <v>22</v>
      </c>
      <c r="D522" t="s" s="3">
        <v>140</v>
      </c>
      <c r="E522" s="6">
        <v>157486</v>
      </c>
      <c r="F522" s="6">
        <f>E522*0.19</f>
        <v>29922.34</v>
      </c>
      <c r="G522" s="6">
        <f>E522+F522</f>
        <v>187408.34</v>
      </c>
      <c r="H522" s="7">
        <f>IF(J522=TRUE(),E522,0)</f>
        <v>157486</v>
      </c>
      <c r="I522" s="7">
        <f>IF(K522=TRUE(),E522,0)</f>
        <v>0</v>
      </c>
      <c r="J522" t="b" s="4">
        <v>1</v>
      </c>
      <c r="K522" t="b" s="4">
        <v>0</v>
      </c>
    </row>
    <row r="523" ht="17" customHeight="1">
      <c r="A523" s="4">
        <v>445</v>
      </c>
      <c r="B523" s="5">
        <v>41091</v>
      </c>
      <c r="C523" t="s" s="3">
        <v>92</v>
      </c>
      <c r="D523" t="s" s="3">
        <v>140</v>
      </c>
      <c r="E523" s="6">
        <v>627000</v>
      </c>
      <c r="F523" s="6">
        <f>E523*0.19</f>
        <v>119130</v>
      </c>
      <c r="G523" s="6">
        <f>E523+F523</f>
        <v>746130</v>
      </c>
      <c r="H523" s="7">
        <f>IF(J523=TRUE(),E523,0)</f>
        <v>627000</v>
      </c>
      <c r="I523" s="7">
        <f>IF(K523=TRUE(),E523,0)</f>
        <v>0</v>
      </c>
      <c r="J523" t="b" s="4">
        <v>1</v>
      </c>
      <c r="K523" t="b" s="4">
        <v>0</v>
      </c>
    </row>
    <row r="524" ht="17" customHeight="1">
      <c r="A524" s="4">
        <v>446</v>
      </c>
      <c r="B524" s="5">
        <v>41091</v>
      </c>
      <c r="C524" t="s" s="3">
        <v>98</v>
      </c>
      <c r="D524" t="s" s="3">
        <v>140</v>
      </c>
      <c r="E524" s="6">
        <v>264000</v>
      </c>
      <c r="F524" s="6">
        <f>E524*0.19</f>
        <v>50160</v>
      </c>
      <c r="G524" s="6">
        <f>E524+F524</f>
        <v>314160</v>
      </c>
      <c r="H524" s="7">
        <f>IF(J524=TRUE(),E524,0)</f>
        <v>264000</v>
      </c>
      <c r="I524" s="7">
        <f>IF(K524=TRUE(),E524,0)</f>
        <v>0</v>
      </c>
      <c r="J524" t="b" s="4">
        <v>1</v>
      </c>
      <c r="K524" t="b" s="4">
        <v>0</v>
      </c>
    </row>
    <row r="525" ht="17" customHeight="1">
      <c r="A525" s="4">
        <v>447</v>
      </c>
      <c r="B525" s="5">
        <v>41091</v>
      </c>
      <c r="C525" t="s" s="3">
        <v>56</v>
      </c>
      <c r="D525" t="s" s="3">
        <v>140</v>
      </c>
      <c r="E525" s="6">
        <v>125000</v>
      </c>
      <c r="F525" s="6">
        <f>E525*0.19</f>
        <v>23750</v>
      </c>
      <c r="G525" s="6">
        <f>E525+F525</f>
        <v>148750</v>
      </c>
      <c r="H525" s="7">
        <f>IF(J525=TRUE(),E525,0)</f>
        <v>125000</v>
      </c>
      <c r="I525" s="7">
        <f>IF(K525=TRUE(),E525,0)</f>
        <v>0</v>
      </c>
      <c r="J525" t="b" s="4">
        <v>1</v>
      </c>
      <c r="K525" t="b" s="4">
        <v>0</v>
      </c>
    </row>
    <row r="526" ht="17" customHeight="1">
      <c r="A526" s="4">
        <v>448</v>
      </c>
      <c r="B526" s="5">
        <v>41091</v>
      </c>
      <c r="C526" t="s" s="3">
        <v>42</v>
      </c>
      <c r="D526" t="s" s="3">
        <v>140</v>
      </c>
      <c r="E526" s="6">
        <v>222653</v>
      </c>
      <c r="F526" s="6">
        <f>E526*0.19</f>
        <v>42304.07</v>
      </c>
      <c r="G526" s="6">
        <f>E526+F526</f>
        <v>264957.07</v>
      </c>
      <c r="H526" s="7">
        <f>IF(J526=TRUE(),E526,0)</f>
        <v>222653</v>
      </c>
      <c r="I526" s="7">
        <f>IF(K526=TRUE(),E526,0)</f>
        <v>0</v>
      </c>
      <c r="J526" t="b" s="4">
        <v>1</v>
      </c>
      <c r="K526" t="b" s="4">
        <v>0</v>
      </c>
    </row>
    <row r="527" ht="17" customHeight="1">
      <c r="A527" s="4">
        <v>449</v>
      </c>
      <c r="B527" s="5">
        <v>41091</v>
      </c>
      <c r="C527" t="s" s="3">
        <v>34</v>
      </c>
      <c r="D527" t="s" s="3">
        <v>140</v>
      </c>
      <c r="E527" s="6">
        <v>35299</v>
      </c>
      <c r="F527" s="6">
        <f>E527*0.19</f>
        <v>6706.81</v>
      </c>
      <c r="G527" s="6">
        <f>E527+F527</f>
        <v>42005.81</v>
      </c>
      <c r="H527" s="7">
        <f>IF(J527=TRUE(),E527,0)</f>
        <v>35299</v>
      </c>
      <c r="I527" s="7">
        <f>IF(K527=TRUE(),E527,0)</f>
        <v>0</v>
      </c>
      <c r="J527" t="b" s="4">
        <v>1</v>
      </c>
      <c r="K527" t="b" s="4">
        <v>0</v>
      </c>
    </row>
    <row r="528" ht="17" customHeight="1">
      <c r="A528" s="4">
        <v>450</v>
      </c>
      <c r="B528" s="5">
        <v>41091</v>
      </c>
      <c r="C528" t="s" s="3">
        <v>60</v>
      </c>
      <c r="D528" t="s" s="3">
        <v>140</v>
      </c>
      <c r="E528" s="6">
        <v>51590</v>
      </c>
      <c r="F528" s="6">
        <f>E528*0.19</f>
        <v>9802.1</v>
      </c>
      <c r="G528" s="6">
        <f>E528+F528</f>
        <v>61392.1</v>
      </c>
      <c r="H528" s="7">
        <f>IF(J528=TRUE(),E528,0)</f>
        <v>51590</v>
      </c>
      <c r="I528" s="7">
        <f>IF(K528=TRUE(),E528,0)</f>
        <v>0</v>
      </c>
      <c r="J528" t="b" s="4">
        <v>1</v>
      </c>
      <c r="K528" t="b" s="4">
        <v>0</v>
      </c>
    </row>
    <row r="529" ht="17" customHeight="1">
      <c r="A529" s="4">
        <v>451</v>
      </c>
      <c r="B529" s="5">
        <v>41091</v>
      </c>
      <c r="C529" t="s" s="3">
        <v>66</v>
      </c>
      <c r="D529" t="s" s="3">
        <v>140</v>
      </c>
      <c r="E529" s="6">
        <v>138027</v>
      </c>
      <c r="F529" s="6">
        <f>E529*0.19</f>
        <v>26225.13</v>
      </c>
      <c r="G529" s="6">
        <f>E529+F529</f>
        <v>164252.13</v>
      </c>
      <c r="H529" s="7">
        <f>IF(J529=TRUE(),E529,0)</f>
        <v>138027</v>
      </c>
      <c r="I529" s="7">
        <f>IF(K529=TRUE(),E529,0)</f>
        <v>0</v>
      </c>
      <c r="J529" t="b" s="4">
        <v>1</v>
      </c>
      <c r="K529" t="b" s="4">
        <v>0</v>
      </c>
    </row>
    <row r="530" ht="17" customHeight="1">
      <c r="A530" s="4">
        <v>452</v>
      </c>
      <c r="B530" s="5">
        <v>41091</v>
      </c>
      <c r="C530" t="s" s="3">
        <v>230</v>
      </c>
      <c r="D530" t="s" s="3">
        <v>140</v>
      </c>
      <c r="E530" s="6">
        <v>22627</v>
      </c>
      <c r="F530" s="6">
        <f>E530*0.19</f>
        <v>4299.13</v>
      </c>
      <c r="G530" s="6">
        <f>E530+F530</f>
        <v>26926.13</v>
      </c>
      <c r="H530" s="7">
        <f>IF(J530=TRUE(),E530,0)</f>
        <v>22627</v>
      </c>
      <c r="I530" s="7">
        <f>IF(K530=TRUE(),E530,0)</f>
        <v>0</v>
      </c>
      <c r="J530" t="b" s="4">
        <v>1</v>
      </c>
      <c r="K530" t="b" s="4">
        <v>0</v>
      </c>
    </row>
    <row r="531" ht="17" customHeight="1">
      <c r="A531" s="4">
        <v>453</v>
      </c>
      <c r="B531" s="5">
        <v>41091</v>
      </c>
      <c r="C531" t="s" s="3">
        <v>241</v>
      </c>
      <c r="D531" t="s" s="3">
        <v>140</v>
      </c>
      <c r="E531" s="6">
        <v>109290</v>
      </c>
      <c r="F531" s="6">
        <f>E531*0.19</f>
        <v>20765.1</v>
      </c>
      <c r="G531" s="6">
        <f>E531+F531</f>
        <v>130055.1</v>
      </c>
      <c r="H531" s="7">
        <f>IF(J531=TRUE(),E531,0)</f>
        <v>109290</v>
      </c>
      <c r="I531" s="7">
        <f>IF(K531=TRUE(),E531,0)</f>
        <v>0</v>
      </c>
      <c r="J531" t="b" s="4">
        <v>1</v>
      </c>
      <c r="K531" t="b" s="4">
        <v>0</v>
      </c>
    </row>
    <row r="532" ht="17" customHeight="1">
      <c r="A532" s="4">
        <v>454</v>
      </c>
      <c r="B532" s="5">
        <v>41091</v>
      </c>
      <c r="C532" t="s" s="3">
        <v>268</v>
      </c>
      <c r="D532" t="s" s="3">
        <v>140</v>
      </c>
      <c r="E532" s="6">
        <v>50912</v>
      </c>
      <c r="F532" s="6">
        <f>E532*0.19</f>
        <v>9673.280000000001</v>
      </c>
      <c r="G532" s="6">
        <f>E532+F532</f>
        <v>60585.28</v>
      </c>
      <c r="H532" s="7">
        <f>IF(J532=TRUE(),E532,0)</f>
        <v>50912</v>
      </c>
      <c r="I532" s="7">
        <f>IF(K532=TRUE(),E532,0)</f>
        <v>0</v>
      </c>
      <c r="J532" t="b" s="4">
        <v>1</v>
      </c>
      <c r="K532" t="b" s="4">
        <v>0</v>
      </c>
    </row>
    <row r="533" ht="17" customHeight="1">
      <c r="A533" s="4">
        <v>455</v>
      </c>
      <c r="B533" s="5">
        <v>41091</v>
      </c>
      <c r="C533" t="s" s="3">
        <v>120</v>
      </c>
      <c r="D533" t="s" s="3">
        <v>140</v>
      </c>
      <c r="E533" s="6">
        <v>455262</v>
      </c>
      <c r="F533" s="6">
        <f>E533*0.19</f>
        <v>86499.78</v>
      </c>
      <c r="G533" s="6">
        <f>E533+F533</f>
        <v>541761.78</v>
      </c>
      <c r="H533" s="7">
        <f>IF(J533=TRUE(),E533,0)</f>
        <v>455262</v>
      </c>
      <c r="I533" s="7">
        <f>IF(K533=TRUE(),E533,0)</f>
        <v>0</v>
      </c>
      <c r="J533" t="b" s="4">
        <v>1</v>
      </c>
      <c r="K533" t="b" s="4">
        <v>0</v>
      </c>
    </row>
    <row r="534" ht="17" customHeight="1">
      <c r="A534" s="4">
        <v>456</v>
      </c>
      <c r="B534" s="5">
        <v>41091</v>
      </c>
      <c r="C534" t="s" s="3">
        <v>127</v>
      </c>
      <c r="D534" t="s" s="3">
        <v>140</v>
      </c>
      <c r="E534" s="6">
        <v>493729</v>
      </c>
      <c r="F534" s="6">
        <f>E534*0.19</f>
        <v>93808.509999999995</v>
      </c>
      <c r="G534" s="6">
        <f>E534+F534</f>
        <v>587537.51</v>
      </c>
      <c r="H534" s="7">
        <f>IF(J534=TRUE(),E534,0)</f>
        <v>493729</v>
      </c>
      <c r="I534" s="7">
        <f>IF(K534=TRUE(),E534,0)</f>
        <v>0</v>
      </c>
      <c r="J534" t="b" s="4">
        <v>1</v>
      </c>
      <c r="K534" t="b" s="4">
        <v>0</v>
      </c>
    </row>
    <row r="535" ht="17" customHeight="1">
      <c r="A535" s="4">
        <v>457</v>
      </c>
      <c r="B535" s="5">
        <v>41091</v>
      </c>
      <c r="C535" t="s" s="3">
        <v>40</v>
      </c>
      <c r="D535" t="s" s="3">
        <v>140</v>
      </c>
      <c r="E535" s="6">
        <v>158000</v>
      </c>
      <c r="F535" s="6">
        <f>E535*0.19</f>
        <v>30020</v>
      </c>
      <c r="G535" s="6">
        <f>E535+F535</f>
        <v>188020</v>
      </c>
      <c r="H535" s="7">
        <f>IF(J535=TRUE(),E535,0)</f>
        <v>158000</v>
      </c>
      <c r="I535" s="7">
        <f>IF(K535=TRUE(),E535,0)</f>
        <v>0</v>
      </c>
      <c r="J535" t="b" s="4">
        <v>1</v>
      </c>
      <c r="K535" t="b" s="4">
        <v>0</v>
      </c>
    </row>
    <row r="536" ht="17" customHeight="1">
      <c r="A536" s="4">
        <v>458</v>
      </c>
      <c r="B536" s="5">
        <v>41091</v>
      </c>
      <c r="C536" t="s" s="3">
        <v>40</v>
      </c>
      <c r="D536" t="s" s="3">
        <v>289</v>
      </c>
      <c r="E536" s="6">
        <v>402984</v>
      </c>
      <c r="F536" s="6">
        <f>E536*0.19</f>
        <v>76566.960000000006</v>
      </c>
      <c r="G536" s="6">
        <f>E536+F536</f>
        <v>479550.96</v>
      </c>
      <c r="H536" s="7">
        <f>IF(J536=TRUE(),E536,0)</f>
        <v>0</v>
      </c>
      <c r="I536" s="7">
        <f>IF(K536=TRUE(),E536,0)</f>
        <v>0</v>
      </c>
      <c r="J536" t="b" s="4">
        <v>0</v>
      </c>
      <c r="K536" t="b" s="4">
        <v>0</v>
      </c>
    </row>
    <row r="537" ht="17" customHeight="1">
      <c r="A537" s="4">
        <v>459</v>
      </c>
      <c r="B537" s="5">
        <v>41091</v>
      </c>
      <c r="C537" t="s" s="3">
        <v>10</v>
      </c>
      <c r="D537" t="s" s="3">
        <v>296</v>
      </c>
      <c r="E537" s="6">
        <v>273300</v>
      </c>
      <c r="F537" s="6">
        <f>E537*0.19</f>
        <v>51927</v>
      </c>
      <c r="G537" s="6">
        <f>E537+F537</f>
        <v>325227</v>
      </c>
      <c r="H537" s="7">
        <f>IF(J537=TRUE(),E537,0)</f>
        <v>0</v>
      </c>
      <c r="I537" s="7">
        <f>IF(K537=TRUE(),E537,0)</f>
        <v>0</v>
      </c>
      <c r="J537" t="b" s="4">
        <v>0</v>
      </c>
      <c r="K537" t="b" s="4">
        <v>0</v>
      </c>
    </row>
    <row r="538" ht="17" customHeight="1">
      <c r="A538" s="4">
        <v>460</v>
      </c>
      <c r="B538" s="5">
        <v>41115</v>
      </c>
      <c r="C538" t="s" s="3">
        <v>183</v>
      </c>
      <c r="D538" s="3"/>
      <c r="E538" s="6">
        <v>554200</v>
      </c>
      <c r="F538" s="6">
        <f>E538*0.19</f>
        <v>105298</v>
      </c>
      <c r="G538" s="6">
        <f>E538+F538</f>
        <v>659498</v>
      </c>
      <c r="H538" s="7">
        <f>IF(J538=TRUE(),E538,0)</f>
        <v>0</v>
      </c>
      <c r="I538" s="7">
        <f>IF(K538=TRUE(),E538,0)</f>
        <v>0</v>
      </c>
      <c r="J538" t="b" s="4">
        <v>0</v>
      </c>
      <c r="K538" t="b" s="4">
        <v>0</v>
      </c>
    </row>
    <row r="539" ht="17.5" customHeight="1">
      <c r="A539" s="9">
        <v>461</v>
      </c>
      <c r="B539" s="5">
        <v>41091</v>
      </c>
      <c r="C539" t="s" s="10">
        <v>33</v>
      </c>
      <c r="D539" t="s" s="10">
        <v>84</v>
      </c>
      <c r="E539" s="11">
        <f t="shared" si="1580"/>
        <v>737678.0236000001</v>
      </c>
      <c r="F539" s="11">
        <f>E539*0.19</f>
        <v>140158.824484</v>
      </c>
      <c r="G539" s="11">
        <f>E539+F539</f>
        <v>877836.8480840001</v>
      </c>
      <c r="H539" s="12">
        <f>IF(J539=TRUE(),E539,0)</f>
        <v>737678.0236000001</v>
      </c>
      <c r="I539" s="12">
        <f>IF(K539=TRUE(),E539,0)</f>
        <v>0</v>
      </c>
      <c r="J539" t="b" s="9">
        <v>1</v>
      </c>
      <c r="K539" t="b" s="9">
        <v>0</v>
      </c>
    </row>
    <row r="540" ht="18" customHeight="1">
      <c r="A540" s="13">
        <f>COUNT(A519:A539)</f>
        <v>21</v>
      </c>
      <c r="B540" t="s" s="3">
        <v>297</v>
      </c>
      <c r="C540" t="s" s="14">
        <v>7</v>
      </c>
      <c r="D540" s="14"/>
      <c r="E540" s="15">
        <f>SUM(E519:E539)</f>
        <v>5549037.0236</v>
      </c>
      <c r="F540" s="15">
        <f>SUM(F519:F539)</f>
        <v>1054317.034484</v>
      </c>
      <c r="G540" s="16">
        <f>SUM(G519:G539)</f>
        <v>6603354.058083999</v>
      </c>
      <c r="H540" s="17">
        <f>SUM(H519:H539)</f>
        <v>3648553.0236</v>
      </c>
      <c r="I540" s="17"/>
      <c r="J540" s="18">
        <f>COUNTIF(J519:J539,TRUE())</f>
        <v>15</v>
      </c>
      <c r="K540" s="19"/>
    </row>
    <row r="541" ht="17.5" customHeight="1">
      <c r="A541" s="20"/>
      <c r="B541" s="5"/>
      <c r="C541" s="20"/>
      <c r="D541" s="21"/>
      <c r="E541" s="20"/>
      <c r="F541" s="20"/>
      <c r="G541" s="20"/>
      <c r="H541" s="22"/>
      <c r="I541" s="22"/>
      <c r="J541" s="20"/>
      <c r="K541" s="20"/>
    </row>
    <row r="542" ht="17" customHeight="1">
      <c r="A542" t="s" s="3">
        <v>1</v>
      </c>
      <c r="B542" t="s" s="3">
        <v>2</v>
      </c>
      <c r="C542" t="s" s="3">
        <v>3</v>
      </c>
      <c r="D542" t="s" s="3">
        <v>4</v>
      </c>
      <c r="E542" t="s" s="3">
        <v>5</v>
      </c>
      <c r="F542" t="s" s="3">
        <v>6</v>
      </c>
      <c r="G542" t="s" s="3">
        <v>7</v>
      </c>
      <c r="H542" s="7"/>
      <c r="I542" s="7"/>
      <c r="J542" s="8"/>
      <c r="K542" s="8"/>
    </row>
    <row r="543" ht="17" customHeight="1">
      <c r="A543" s="4">
        <v>462</v>
      </c>
      <c r="B543" s="5">
        <v>41122</v>
      </c>
      <c r="C543" t="s" s="3">
        <v>298</v>
      </c>
      <c r="D543" t="s" s="3">
        <v>299</v>
      </c>
      <c r="E543" s="6">
        <v>728000</v>
      </c>
      <c r="F543" s="6">
        <f>E543*0.19</f>
        <v>138320</v>
      </c>
      <c r="G543" s="6">
        <f>E543+F543</f>
        <v>866320</v>
      </c>
      <c r="H543" s="7">
        <f>IF(J543=TRUE(),E543,0)</f>
        <v>0</v>
      </c>
      <c r="I543" s="7">
        <f>IF(K543=TRUE(),E543,0)</f>
        <v>0</v>
      </c>
      <c r="J543" t="b" s="4">
        <v>0</v>
      </c>
      <c r="K543" t="b" s="4">
        <v>0</v>
      </c>
    </row>
    <row r="544" ht="17" customHeight="1">
      <c r="A544" s="4">
        <v>463</v>
      </c>
      <c r="B544" s="5">
        <v>41122</v>
      </c>
      <c r="C544" t="s" s="3">
        <v>92</v>
      </c>
      <c r="D544" t="s" s="3">
        <v>140</v>
      </c>
      <c r="E544" s="6">
        <v>627000</v>
      </c>
      <c r="F544" s="6">
        <f>E544*0.19</f>
        <v>119130</v>
      </c>
      <c r="G544" s="6">
        <f>E544+F544</f>
        <v>746130</v>
      </c>
      <c r="H544" s="7">
        <f>IF(J544=TRUE(),E544,0)</f>
        <v>627000</v>
      </c>
      <c r="I544" s="7">
        <f>IF(K544=TRUE(),E544,0)</f>
        <v>0</v>
      </c>
      <c r="J544" t="b" s="4">
        <v>1</v>
      </c>
      <c r="K544" t="b" s="4">
        <v>0</v>
      </c>
    </row>
    <row r="545" ht="17" customHeight="1">
      <c r="A545" s="4">
        <v>464</v>
      </c>
      <c r="B545" s="5">
        <v>41122</v>
      </c>
      <c r="C545" t="s" s="3">
        <v>98</v>
      </c>
      <c r="D545" t="s" s="3">
        <v>140</v>
      </c>
      <c r="E545" s="6">
        <v>264000</v>
      </c>
      <c r="F545" s="6">
        <f>E545*0.19</f>
        <v>50160</v>
      </c>
      <c r="G545" s="6">
        <f>E545+F545</f>
        <v>314160</v>
      </c>
      <c r="H545" s="7">
        <f>IF(J545=TRUE(),E545,0)</f>
        <v>264000</v>
      </c>
      <c r="I545" s="7">
        <f>IF(K545=TRUE(),E545,0)</f>
        <v>0</v>
      </c>
      <c r="J545" t="b" s="4">
        <v>1</v>
      </c>
      <c r="K545" t="b" s="4">
        <v>0</v>
      </c>
    </row>
    <row r="546" ht="17" customHeight="1">
      <c r="A546" s="4">
        <v>465</v>
      </c>
      <c r="B546" s="5">
        <v>41122</v>
      </c>
      <c r="C546" t="s" s="3">
        <v>56</v>
      </c>
      <c r="D546" t="s" s="3">
        <v>159</v>
      </c>
      <c r="E546" s="6">
        <v>125000</v>
      </c>
      <c r="F546" s="6">
        <f>E546*0.19</f>
        <v>23750</v>
      </c>
      <c r="G546" s="6">
        <f>E546+F546</f>
        <v>148750</v>
      </c>
      <c r="H546" s="7">
        <f>IF(J546=TRUE(),E546,0)</f>
        <v>125000</v>
      </c>
      <c r="I546" s="7">
        <f>IF(K546=TRUE(),E546,0)</f>
        <v>0</v>
      </c>
      <c r="J546" t="b" s="4">
        <v>1</v>
      </c>
      <c r="K546" t="b" s="4">
        <v>0</v>
      </c>
    </row>
    <row r="547" ht="17" customHeight="1">
      <c r="A547" s="4">
        <v>466</v>
      </c>
      <c r="B547" s="5">
        <v>41122</v>
      </c>
      <c r="C547" t="s" s="3">
        <v>42</v>
      </c>
      <c r="D547" t="s" s="3">
        <v>159</v>
      </c>
      <c r="E547" s="6">
        <v>222157</v>
      </c>
      <c r="F547" s="6">
        <f>E547*0.19</f>
        <v>42209.83</v>
      </c>
      <c r="G547" s="6">
        <f>E547+F547</f>
        <v>264366.83</v>
      </c>
      <c r="H547" s="7">
        <f>IF(J547=TRUE(),E547,0)</f>
        <v>222157</v>
      </c>
      <c r="I547" s="7">
        <f>IF(K547=TRUE(),E547,0)</f>
        <v>0</v>
      </c>
      <c r="J547" t="b" s="4">
        <v>1</v>
      </c>
      <c r="K547" t="b" s="4">
        <v>0</v>
      </c>
    </row>
    <row r="548" ht="17" customHeight="1">
      <c r="A548" s="4">
        <v>467</v>
      </c>
      <c r="B548" s="5">
        <v>41122</v>
      </c>
      <c r="C548" t="s" s="3">
        <v>34</v>
      </c>
      <c r="D548" t="s" s="3">
        <v>159</v>
      </c>
      <c r="E548" s="6">
        <v>35220</v>
      </c>
      <c r="F548" s="6">
        <f>E548*0.19</f>
        <v>6691.8</v>
      </c>
      <c r="G548" s="6">
        <f>E548+F548</f>
        <v>41911.8</v>
      </c>
      <c r="H548" s="7">
        <f>IF(J548=TRUE(),E548,0)</f>
        <v>35220</v>
      </c>
      <c r="I548" s="7">
        <f>IF(K548=TRUE(),E548,0)</f>
        <v>0</v>
      </c>
      <c r="J548" t="b" s="4">
        <v>1</v>
      </c>
      <c r="K548" t="b" s="4">
        <v>0</v>
      </c>
    </row>
    <row r="549" ht="17" customHeight="1">
      <c r="A549" s="4">
        <v>468</v>
      </c>
      <c r="B549" s="5">
        <v>41122</v>
      </c>
      <c r="C549" t="s" s="3">
        <v>60</v>
      </c>
      <c r="D549" t="s" s="3">
        <v>159</v>
      </c>
      <c r="E549" s="6">
        <v>51476</v>
      </c>
      <c r="F549" s="6">
        <f>E549*0.19</f>
        <v>9780.440000000001</v>
      </c>
      <c r="G549" s="6">
        <f>E549+F549</f>
        <v>61256.44</v>
      </c>
      <c r="H549" s="7">
        <f>IF(J549=TRUE(),E549,0)</f>
        <v>51476</v>
      </c>
      <c r="I549" s="7">
        <f>IF(K549=TRUE(),E549,0)</f>
        <v>0</v>
      </c>
      <c r="J549" t="b" s="4">
        <v>1</v>
      </c>
      <c r="K549" t="b" s="4">
        <v>0</v>
      </c>
    </row>
    <row r="550" ht="17" customHeight="1">
      <c r="A550" s="4">
        <v>469</v>
      </c>
      <c r="B550" s="5">
        <v>41122</v>
      </c>
      <c r="C550" t="s" s="3">
        <v>66</v>
      </c>
      <c r="D550" t="s" s="3">
        <v>159</v>
      </c>
      <c r="E550" s="6">
        <v>137720</v>
      </c>
      <c r="F550" s="6">
        <f>E550*0.19</f>
        <v>26166.8</v>
      </c>
      <c r="G550" s="6">
        <f>E550+F550</f>
        <v>163886.8</v>
      </c>
      <c r="H550" s="7">
        <f>IF(J550=TRUE(),E550,0)</f>
        <v>137720</v>
      </c>
      <c r="I550" s="7">
        <f>IF(K550=TRUE(),E550,0)</f>
        <v>0</v>
      </c>
      <c r="J550" t="b" s="4">
        <v>1</v>
      </c>
      <c r="K550" t="b" s="4">
        <v>0</v>
      </c>
    </row>
    <row r="551" ht="17" customHeight="1">
      <c r="A551" s="4">
        <v>470</v>
      </c>
      <c r="B551" s="5">
        <v>41122</v>
      </c>
      <c r="C551" t="s" s="3">
        <v>230</v>
      </c>
      <c r="D551" t="s" s="3">
        <v>159</v>
      </c>
      <c r="E551" s="6">
        <v>225770</v>
      </c>
      <c r="F551" s="6">
        <f>E551*0.19</f>
        <v>42896.3</v>
      </c>
      <c r="G551" s="6">
        <f>E551+F551</f>
        <v>268666.3</v>
      </c>
      <c r="H551" s="7">
        <f>IF(J551=TRUE(),E551,0)</f>
        <v>225770</v>
      </c>
      <c r="I551" s="7">
        <f>IF(K551=TRUE(),E551,0)</f>
        <v>0</v>
      </c>
      <c r="J551" t="b" s="4">
        <v>1</v>
      </c>
      <c r="K551" t="b" s="4">
        <v>0</v>
      </c>
    </row>
    <row r="552" ht="17" customHeight="1">
      <c r="A552" s="4">
        <v>471</v>
      </c>
      <c r="B552" s="5">
        <v>41122</v>
      </c>
      <c r="C552" t="s" s="3">
        <v>241</v>
      </c>
      <c r="D552" t="s" s="3">
        <v>159</v>
      </c>
      <c r="E552" s="6">
        <v>109047</v>
      </c>
      <c r="F552" s="6">
        <f>E552*0.19</f>
        <v>20718.93</v>
      </c>
      <c r="G552" s="6">
        <f>E552+F552</f>
        <v>129765.93</v>
      </c>
      <c r="H552" s="7">
        <f>IF(J552=TRUE(),E552,0)</f>
        <v>109047</v>
      </c>
      <c r="I552" s="7">
        <f>IF(K552=TRUE(),E552,0)</f>
        <v>0</v>
      </c>
      <c r="J552" t="b" s="4">
        <v>1</v>
      </c>
      <c r="K552" t="b" s="4">
        <v>0</v>
      </c>
    </row>
    <row r="553" ht="17" customHeight="1">
      <c r="A553" s="4">
        <v>472</v>
      </c>
      <c r="B553" s="5">
        <v>41122</v>
      </c>
      <c r="C553" t="s" s="3">
        <v>268</v>
      </c>
      <c r="D553" t="s" s="3">
        <v>159</v>
      </c>
      <c r="E553" s="6">
        <v>50798</v>
      </c>
      <c r="F553" s="6">
        <f>E553*0.19</f>
        <v>9651.620000000001</v>
      </c>
      <c r="G553" s="6">
        <f>E553+F553</f>
        <v>60449.62</v>
      </c>
      <c r="H553" s="7">
        <f>IF(J553=TRUE(),E553,0)</f>
        <v>50798</v>
      </c>
      <c r="I553" s="7">
        <f>IF(K553=TRUE(),E553,0)</f>
        <v>0</v>
      </c>
      <c r="J553" t="b" s="4">
        <v>1</v>
      </c>
      <c r="K553" t="b" s="4">
        <v>0</v>
      </c>
    </row>
    <row r="554" ht="17" customHeight="1">
      <c r="A554" s="4">
        <v>473</v>
      </c>
      <c r="B554" s="5">
        <v>41122</v>
      </c>
      <c r="C554" t="s" s="3">
        <v>120</v>
      </c>
      <c r="D554" t="s" s="3">
        <v>159</v>
      </c>
      <c r="E554" s="6">
        <v>454249</v>
      </c>
      <c r="F554" s="6">
        <f>E554*0.19</f>
        <v>86307.31</v>
      </c>
      <c r="G554" s="6">
        <f>E554+F554</f>
        <v>540556.3100000001</v>
      </c>
      <c r="H554" s="7">
        <f>IF(J554=TRUE(),E554,0)</f>
        <v>454249</v>
      </c>
      <c r="I554" s="7">
        <f>IF(K554=TRUE(),E554,0)</f>
        <v>0</v>
      </c>
      <c r="J554" t="b" s="4">
        <v>1</v>
      </c>
      <c r="K554" t="b" s="4">
        <v>0</v>
      </c>
    </row>
    <row r="555" ht="17" customHeight="1">
      <c r="A555" s="4">
        <v>474</v>
      </c>
      <c r="B555" s="5">
        <v>41122</v>
      </c>
      <c r="C555" t="s" s="3">
        <v>127</v>
      </c>
      <c r="D555" t="s" s="3">
        <v>159</v>
      </c>
      <c r="E555" s="6">
        <v>492630</v>
      </c>
      <c r="F555" s="6">
        <f>E555*0.19</f>
        <v>93599.7</v>
      </c>
      <c r="G555" s="6">
        <f>E555+F555</f>
        <v>586229.7</v>
      </c>
      <c r="H555" s="7">
        <f>IF(J555=TRUE(),E555,0)</f>
        <v>492630</v>
      </c>
      <c r="I555" s="7">
        <f>IF(K555=TRUE(),E555,0)</f>
        <v>0</v>
      </c>
      <c r="J555" t="b" s="4">
        <v>1</v>
      </c>
      <c r="K555" t="b" s="4">
        <v>0</v>
      </c>
    </row>
    <row r="556" ht="17" customHeight="1">
      <c r="A556" s="4">
        <v>475</v>
      </c>
      <c r="B556" s="5">
        <v>41129</v>
      </c>
      <c r="C556" t="s" s="3">
        <v>58</v>
      </c>
      <c r="D556" t="s" s="3">
        <v>300</v>
      </c>
      <c r="E556" s="6">
        <v>135370</v>
      </c>
      <c r="F556" s="6">
        <f>E556*0.19</f>
        <v>25720.3</v>
      </c>
      <c r="G556" s="6">
        <f>E556+F556</f>
        <v>161090.3</v>
      </c>
      <c r="H556" s="7">
        <f>IF(J556=TRUE(),E556,0)</f>
        <v>0</v>
      </c>
      <c r="I556" s="7">
        <f>IF(K556=TRUE(),E556,0)</f>
        <v>0</v>
      </c>
      <c r="J556" t="b" s="4">
        <v>0</v>
      </c>
      <c r="K556" t="b" s="4">
        <v>0</v>
      </c>
    </row>
    <row r="557" ht="17" customHeight="1">
      <c r="A557" s="4">
        <v>476</v>
      </c>
      <c r="B557" s="5">
        <v>41129</v>
      </c>
      <c r="C557" t="s" s="3">
        <v>29</v>
      </c>
      <c r="D557" t="s" s="3">
        <v>301</v>
      </c>
      <c r="E557" s="6">
        <v>107684</v>
      </c>
      <c r="F557" s="6">
        <f>E557*0.19</f>
        <v>20459.96</v>
      </c>
      <c r="G557" s="6">
        <f>E557+F557</f>
        <v>128143.96</v>
      </c>
      <c r="H557" s="7">
        <f>IF(J557=TRUE(),E557,0)</f>
        <v>0</v>
      </c>
      <c r="I557" s="7">
        <f>IF(K557=TRUE(),E557,0)</f>
        <v>0</v>
      </c>
      <c r="J557" t="b" s="4">
        <v>0</v>
      </c>
      <c r="K557" t="b" s="4">
        <v>0</v>
      </c>
    </row>
    <row r="558" ht="17" customHeight="1">
      <c r="A558" s="4">
        <v>477</v>
      </c>
      <c r="B558" s="5">
        <v>41129</v>
      </c>
      <c r="C558" t="s" s="3">
        <v>33</v>
      </c>
      <c r="D558" t="s" s="3">
        <v>302</v>
      </c>
      <c r="E558" s="6">
        <v>192000</v>
      </c>
      <c r="F558" s="6">
        <f>E558*0.19</f>
        <v>36480</v>
      </c>
      <c r="G558" s="6">
        <f>E558+F558</f>
        <v>228480</v>
      </c>
      <c r="H558" s="7">
        <f>IF(J558=TRUE(),E558,0)</f>
        <v>0</v>
      </c>
      <c r="I558" s="7">
        <f>IF(K558=TRUE(),E558,0)</f>
        <v>0</v>
      </c>
      <c r="J558" t="b" s="4">
        <v>0</v>
      </c>
      <c r="K558" t="b" s="4">
        <v>0</v>
      </c>
    </row>
    <row r="559" ht="17" customHeight="1">
      <c r="A559" s="4">
        <v>478</v>
      </c>
      <c r="B559" s="5">
        <v>41129</v>
      </c>
      <c r="C559" t="s" s="3">
        <v>36</v>
      </c>
      <c r="D559" t="s" s="3">
        <v>159</v>
      </c>
      <c r="E559" s="6">
        <v>153419</v>
      </c>
      <c r="F559" s="6">
        <f>E559*0.19</f>
        <v>29149.61</v>
      </c>
      <c r="G559" s="6">
        <f>E559+F559</f>
        <v>182568.61</v>
      </c>
      <c r="H559" s="7">
        <f>IF(J559=TRUE(),E559,0)</f>
        <v>153419</v>
      </c>
      <c r="I559" s="7">
        <f>IF(K559=TRUE(),E559,0)</f>
        <v>0</v>
      </c>
      <c r="J559" t="b" s="4">
        <v>1</v>
      </c>
      <c r="K559" t="b" s="4">
        <v>0</v>
      </c>
    </row>
    <row r="560" ht="17" customHeight="1">
      <c r="A560" t="s" s="3">
        <v>263</v>
      </c>
      <c r="B560" s="5">
        <v>41149</v>
      </c>
      <c r="C560" t="s" s="3">
        <v>216</v>
      </c>
      <c r="D560" t="s" s="3">
        <v>262</v>
      </c>
      <c r="E560" s="6">
        <v>-877675</v>
      </c>
      <c r="F560" s="6">
        <f>E560*0.19</f>
        <v>-166758.25</v>
      </c>
      <c r="G560" s="6">
        <f>E560+F560</f>
        <v>-1044433.25</v>
      </c>
      <c r="H560" s="7">
        <f>IF(J560=TRUE(),E560,0)</f>
        <v>0</v>
      </c>
      <c r="I560" s="7">
        <f>IF(K560=TRUE(),E560,0)</f>
        <v>0</v>
      </c>
      <c r="J560" t="b" s="4">
        <v>0</v>
      </c>
      <c r="K560" t="b" s="4">
        <v>0</v>
      </c>
    </row>
    <row r="561" ht="17" customHeight="1">
      <c r="A561" s="4">
        <v>479</v>
      </c>
      <c r="B561" s="5">
        <v>41149</v>
      </c>
      <c r="C561" t="s" s="3">
        <v>216</v>
      </c>
      <c r="D561" t="s" s="3">
        <v>262</v>
      </c>
      <c r="E561" s="6">
        <v>877675</v>
      </c>
      <c r="F561" s="6">
        <f>E561*0.19</f>
        <v>166758.25</v>
      </c>
      <c r="G561" s="6">
        <f>E561+F561</f>
        <v>1044433.25</v>
      </c>
      <c r="H561" s="7">
        <f>IF(J561=TRUE(),E561,0)</f>
        <v>0</v>
      </c>
      <c r="I561" s="7">
        <f>IF(K561=TRUE(),E561,0)</f>
        <v>0</v>
      </c>
      <c r="J561" t="b" s="4">
        <v>0</v>
      </c>
      <c r="K561" t="b" s="4">
        <v>0</v>
      </c>
    </row>
    <row r="562" ht="17" customHeight="1">
      <c r="A562" s="4">
        <v>480</v>
      </c>
      <c r="B562" s="5">
        <v>41150</v>
      </c>
      <c r="C562" t="s" s="3">
        <v>98</v>
      </c>
      <c r="D562" t="s" s="3">
        <v>303</v>
      </c>
      <c r="E562" s="6">
        <v>164000</v>
      </c>
      <c r="F562" s="6">
        <f>E562*0.19</f>
        <v>31160</v>
      </c>
      <c r="G562" s="6">
        <f>E562+F562</f>
        <v>195160</v>
      </c>
      <c r="H562" s="7">
        <f>IF(J562=TRUE(),E562,0)</f>
        <v>0</v>
      </c>
      <c r="I562" s="7">
        <f>IF(K562=TRUE(),E562,0)</f>
        <v>0</v>
      </c>
      <c r="J562" t="b" s="4">
        <v>0</v>
      </c>
      <c r="K562" t="b" s="4">
        <v>0</v>
      </c>
    </row>
    <row r="563" ht="17" customHeight="1">
      <c r="A563" s="4">
        <v>481</v>
      </c>
      <c r="B563" s="5">
        <v>41122</v>
      </c>
      <c r="C563" t="s" s="3">
        <v>22</v>
      </c>
      <c r="D563" t="s" s="3">
        <v>159</v>
      </c>
      <c r="E563" s="6">
        <v>157136</v>
      </c>
      <c r="F563" s="6">
        <f>E563*0.19</f>
        <v>29855.84</v>
      </c>
      <c r="G563" s="6">
        <f>E563+F563</f>
        <v>186991.84</v>
      </c>
      <c r="H563" s="7">
        <f>IF(J563=TRUE(),E563,0)</f>
        <v>157136</v>
      </c>
      <c r="I563" s="7">
        <f>IF(K563=TRUE(),E563,0)</f>
        <v>0</v>
      </c>
      <c r="J563" t="b" s="4">
        <v>1</v>
      </c>
      <c r="K563" t="b" s="4">
        <v>0</v>
      </c>
    </row>
    <row r="564" ht="17.5" customHeight="1">
      <c r="A564" s="9">
        <v>482</v>
      </c>
      <c r="B564" s="5">
        <v>41122</v>
      </c>
      <c r="C564" t="s" s="10">
        <v>40</v>
      </c>
      <c r="D564" t="s" s="10">
        <v>159</v>
      </c>
      <c r="E564" s="11">
        <v>158000</v>
      </c>
      <c r="F564" s="11">
        <f>E564*0.19</f>
        <v>30020</v>
      </c>
      <c r="G564" s="11">
        <f>E564+F564</f>
        <v>188020</v>
      </c>
      <c r="H564" s="12">
        <f>IF(J564=TRUE(),E564,0)</f>
        <v>158000</v>
      </c>
      <c r="I564" s="12">
        <f>IF(K564=TRUE(),E564,0)</f>
        <v>0</v>
      </c>
      <c r="J564" t="b" s="9">
        <v>1</v>
      </c>
      <c r="K564" t="b" s="9">
        <v>0</v>
      </c>
    </row>
    <row r="565" ht="18" customHeight="1">
      <c r="A565" s="13">
        <v>22</v>
      </c>
      <c r="B565" t="s" s="3">
        <v>304</v>
      </c>
      <c r="C565" t="s" s="14">
        <v>7</v>
      </c>
      <c r="D565" s="14"/>
      <c r="E565" s="15">
        <f>SUM(E543:E564)</f>
        <v>4590676</v>
      </c>
      <c r="F565" s="15">
        <f>SUM(F543:F564)</f>
        <v>872228.4399999999</v>
      </c>
      <c r="G565" s="16">
        <f>SUM(G543:G564)</f>
        <v>5462904.439999999</v>
      </c>
      <c r="H565" s="17">
        <f>SUM(H543:H564)</f>
        <v>3263622</v>
      </c>
      <c r="I565" s="17"/>
      <c r="J565" s="18">
        <f>COUNTIF(J543:J564,TRUE())</f>
        <v>15</v>
      </c>
      <c r="K565" s="19"/>
    </row>
    <row r="566" ht="17.5" customHeight="1">
      <c r="A566" s="20"/>
      <c r="B566" s="5"/>
      <c r="C566" s="20"/>
      <c r="D566" s="21"/>
      <c r="E566" s="20"/>
      <c r="F566" s="20"/>
      <c r="G566" s="20"/>
      <c r="H566" s="22"/>
      <c r="I566" s="22"/>
      <c r="J566" s="20"/>
      <c r="K566" s="20"/>
    </row>
    <row r="567" ht="17" customHeight="1">
      <c r="A567" t="s" s="3">
        <v>1</v>
      </c>
      <c r="B567" t="s" s="3">
        <v>2</v>
      </c>
      <c r="C567" t="s" s="3">
        <v>3</v>
      </c>
      <c r="D567" t="s" s="3">
        <v>4</v>
      </c>
      <c r="E567" t="s" s="3">
        <v>5</v>
      </c>
      <c r="F567" t="s" s="3">
        <v>6</v>
      </c>
      <c r="G567" t="s" s="3">
        <v>7</v>
      </c>
      <c r="H567" s="7"/>
      <c r="I567" s="7"/>
      <c r="J567" s="8"/>
      <c r="K567" s="8"/>
    </row>
    <row r="568" ht="17" customHeight="1">
      <c r="A568" s="4">
        <v>483</v>
      </c>
      <c r="B568" s="5">
        <v>41153</v>
      </c>
      <c r="C568" t="s" s="3">
        <v>22</v>
      </c>
      <c r="D568" t="s" s="3">
        <v>180</v>
      </c>
      <c r="E568" s="6">
        <v>157486</v>
      </c>
      <c r="F568" s="6">
        <f>E568*0.19</f>
        <v>29922.34</v>
      </c>
      <c r="G568" s="6">
        <f>E568+F568</f>
        <v>187408.34</v>
      </c>
      <c r="H568" s="7">
        <f>IF(J568=TRUE(),E568,0)</f>
        <v>157486</v>
      </c>
      <c r="I568" s="7">
        <f>IF(K568=TRUE(),E568,0)</f>
        <v>0</v>
      </c>
      <c r="J568" t="b" s="4">
        <v>1</v>
      </c>
      <c r="K568" t="b" s="4">
        <v>0</v>
      </c>
    </row>
    <row r="569" ht="17" customHeight="1">
      <c r="A569" s="4">
        <v>484</v>
      </c>
      <c r="B569" s="5">
        <v>41153</v>
      </c>
      <c r="C569" t="s" s="3">
        <v>92</v>
      </c>
      <c r="D569" t="s" s="3">
        <v>159</v>
      </c>
      <c r="E569" s="6">
        <v>627000</v>
      </c>
      <c r="F569" s="6">
        <f>E569*0.19</f>
        <v>119130</v>
      </c>
      <c r="G569" s="6">
        <f>E569+F569</f>
        <v>746130</v>
      </c>
      <c r="H569" s="7">
        <f>IF(J569=TRUE(),E569,0)</f>
        <v>627000</v>
      </c>
      <c r="I569" s="7">
        <f>IF(K569=TRUE(),E569,0)</f>
        <v>0</v>
      </c>
      <c r="J569" t="b" s="4">
        <v>1</v>
      </c>
      <c r="K569" t="b" s="4">
        <v>0</v>
      </c>
    </row>
    <row r="570" ht="17" customHeight="1">
      <c r="A570" s="4">
        <v>485</v>
      </c>
      <c r="B570" s="5">
        <v>41153</v>
      </c>
      <c r="C570" t="s" s="3">
        <v>98</v>
      </c>
      <c r="D570" t="s" s="3">
        <v>159</v>
      </c>
      <c r="E570" s="6">
        <v>264000</v>
      </c>
      <c r="F570" s="6">
        <f>E570*0.19</f>
        <v>50160</v>
      </c>
      <c r="G570" s="6">
        <f>E570+F570</f>
        <v>314160</v>
      </c>
      <c r="H570" s="7">
        <f>IF(J570=TRUE(),E570,0)</f>
        <v>264000</v>
      </c>
      <c r="I570" s="7">
        <f>IF(K570=TRUE(),E570,0)</f>
        <v>0</v>
      </c>
      <c r="J570" t="b" s="4">
        <v>1</v>
      </c>
      <c r="K570" t="b" s="4">
        <v>0</v>
      </c>
    </row>
    <row r="571" ht="17" customHeight="1">
      <c r="A571" s="4">
        <v>486</v>
      </c>
      <c r="B571" s="5">
        <v>41153</v>
      </c>
      <c r="C571" t="s" s="3">
        <v>56</v>
      </c>
      <c r="D571" t="s" s="3">
        <v>180</v>
      </c>
      <c r="E571" s="6">
        <v>125000</v>
      </c>
      <c r="F571" s="6">
        <f>E571*0.19</f>
        <v>23750</v>
      </c>
      <c r="G571" s="6">
        <f>E571+F571</f>
        <v>148750</v>
      </c>
      <c r="H571" s="7">
        <f>IF(J571=TRUE(),E571,0)</f>
        <v>125000</v>
      </c>
      <c r="I571" s="7">
        <f>IF(K571=TRUE(),E571,0)</f>
        <v>0</v>
      </c>
      <c r="J571" t="b" s="4">
        <v>1</v>
      </c>
      <c r="K571" t="b" s="4">
        <v>0</v>
      </c>
    </row>
    <row r="572" ht="17" customHeight="1">
      <c r="A572" s="4">
        <v>487</v>
      </c>
      <c r="B572" s="5">
        <v>41153</v>
      </c>
      <c r="C572" t="s" s="3">
        <v>42</v>
      </c>
      <c r="D572" t="s" s="3">
        <v>180</v>
      </c>
      <c r="E572" s="6">
        <v>221985</v>
      </c>
      <c r="F572" s="6">
        <f>E572*0.19</f>
        <v>42177.15</v>
      </c>
      <c r="G572" s="6">
        <f>E572+F572</f>
        <v>264162.15</v>
      </c>
      <c r="H572" s="7">
        <f>IF(J572=TRUE(),E572,0)</f>
        <v>221985</v>
      </c>
      <c r="I572" s="7">
        <f>IF(K572=TRUE(),E572,0)</f>
        <v>0</v>
      </c>
      <c r="J572" t="b" s="4">
        <v>1</v>
      </c>
      <c r="K572" t="b" s="4">
        <v>0</v>
      </c>
    </row>
    <row r="573" ht="17" customHeight="1">
      <c r="A573" s="4">
        <v>488</v>
      </c>
      <c r="B573" s="5">
        <v>41153</v>
      </c>
      <c r="C573" t="s" s="3">
        <v>34</v>
      </c>
      <c r="D573" t="s" s="3">
        <v>180</v>
      </c>
      <c r="E573" s="6">
        <v>35193</v>
      </c>
      <c r="F573" s="6">
        <f>E573*0.19</f>
        <v>6686.67</v>
      </c>
      <c r="G573" s="6">
        <f>E573+F573</f>
        <v>41879.67</v>
      </c>
      <c r="H573" s="7">
        <f>IF(J573=TRUE(),E573,0)</f>
        <v>35193</v>
      </c>
      <c r="I573" s="7">
        <f>IF(K573=TRUE(),E573,0)</f>
        <v>0</v>
      </c>
      <c r="J573" t="b" s="4">
        <v>1</v>
      </c>
      <c r="K573" t="b" s="4">
        <v>0</v>
      </c>
    </row>
    <row r="574" ht="17" customHeight="1">
      <c r="A574" s="4">
        <v>489</v>
      </c>
      <c r="B574" s="5">
        <v>41153</v>
      </c>
      <c r="C574" t="s" s="3">
        <v>60</v>
      </c>
      <c r="D574" t="s" s="3">
        <v>180</v>
      </c>
      <c r="E574" s="6">
        <v>51436</v>
      </c>
      <c r="F574" s="6">
        <f>E574*0.19</f>
        <v>9772.84</v>
      </c>
      <c r="G574" s="6">
        <f>E574+F574</f>
        <v>61208.84</v>
      </c>
      <c r="H574" s="7">
        <f>IF(J574=TRUE(),E574,0)</f>
        <v>51436</v>
      </c>
      <c r="I574" s="7">
        <f>IF(K574=TRUE(),E574,0)</f>
        <v>0</v>
      </c>
      <c r="J574" t="b" s="4">
        <v>1</v>
      </c>
      <c r="K574" t="b" s="4">
        <v>0</v>
      </c>
    </row>
    <row r="575" ht="17" customHeight="1">
      <c r="A575" s="4">
        <v>490</v>
      </c>
      <c r="B575" s="5">
        <v>41153</v>
      </c>
      <c r="C575" t="s" s="3">
        <v>66</v>
      </c>
      <c r="D575" t="s" s="3">
        <v>180</v>
      </c>
      <c r="E575" s="6">
        <v>137613</v>
      </c>
      <c r="F575" s="6">
        <f>E575*0.19</f>
        <v>26146.47</v>
      </c>
      <c r="G575" s="6">
        <f>E575+F575</f>
        <v>163759.47</v>
      </c>
      <c r="H575" s="7">
        <f>IF(J575=TRUE(),E575,0)</f>
        <v>137613</v>
      </c>
      <c r="I575" s="7">
        <f>IF(K575=TRUE(),E575,0)</f>
        <v>0</v>
      </c>
      <c r="J575" t="b" s="4">
        <v>1</v>
      </c>
      <c r="K575" t="b" s="4">
        <v>0</v>
      </c>
    </row>
    <row r="576" ht="17" customHeight="1">
      <c r="A576" s="4">
        <v>491</v>
      </c>
      <c r="B576" s="5">
        <v>41153</v>
      </c>
      <c r="C576" t="s" s="3">
        <v>230</v>
      </c>
      <c r="D576" t="s" s="3">
        <v>180</v>
      </c>
      <c r="E576" s="6">
        <v>22559</v>
      </c>
      <c r="F576" s="6">
        <f>E576*0.19</f>
        <v>4286.21</v>
      </c>
      <c r="G576" s="6">
        <f>E576+F576</f>
        <v>26845.21</v>
      </c>
      <c r="H576" s="7">
        <f>IF(J576=TRUE(),E576,0)</f>
        <v>22559</v>
      </c>
      <c r="I576" s="7">
        <f>IF(K576=TRUE(),E576,0)</f>
        <v>0</v>
      </c>
      <c r="J576" t="b" s="4">
        <v>1</v>
      </c>
      <c r="K576" t="b" s="4">
        <v>0</v>
      </c>
    </row>
    <row r="577" ht="17" customHeight="1">
      <c r="A577" s="4">
        <v>492</v>
      </c>
      <c r="B577" s="5">
        <v>41153</v>
      </c>
      <c r="C577" t="s" s="3">
        <v>241</v>
      </c>
      <c r="D577" t="s" s="3">
        <v>180</v>
      </c>
      <c r="E577" s="6">
        <v>108962</v>
      </c>
      <c r="F577" s="6">
        <f>E577*0.19</f>
        <v>20702.78</v>
      </c>
      <c r="G577" s="6">
        <f>E577+F577</f>
        <v>129664.78</v>
      </c>
      <c r="H577" s="7">
        <f>IF(J577=TRUE(),E577,0)</f>
        <v>108962</v>
      </c>
      <c r="I577" s="7">
        <f>IF(K577=TRUE(),E577,0)</f>
        <v>0</v>
      </c>
      <c r="J577" t="b" s="4">
        <v>1</v>
      </c>
      <c r="K577" t="b" s="4">
        <v>0</v>
      </c>
    </row>
    <row r="578" ht="17" customHeight="1">
      <c r="A578" s="4">
        <v>493</v>
      </c>
      <c r="B578" s="5">
        <v>41153</v>
      </c>
      <c r="C578" t="s" s="3">
        <v>268</v>
      </c>
      <c r="D578" t="s" s="3">
        <v>180</v>
      </c>
      <c r="E578" s="6">
        <v>50759</v>
      </c>
      <c r="F578" s="6">
        <f>E578*0.19</f>
        <v>9644.210000000001</v>
      </c>
      <c r="G578" s="6">
        <f>E578+F578</f>
        <v>60403.21</v>
      </c>
      <c r="H578" s="7">
        <f>IF(J578=TRUE(),E578,0)</f>
        <v>50759</v>
      </c>
      <c r="I578" s="7">
        <f>IF(K578=TRUE(),E578,0)</f>
        <v>0</v>
      </c>
      <c r="J578" t="b" s="4">
        <v>1</v>
      </c>
      <c r="K578" t="b" s="4">
        <v>0</v>
      </c>
    </row>
    <row r="579" ht="17" customHeight="1">
      <c r="A579" s="4">
        <v>494</v>
      </c>
      <c r="B579" s="5">
        <v>41153</v>
      </c>
      <c r="C579" t="s" s="3">
        <v>120</v>
      </c>
      <c r="D579" t="s" s="3">
        <v>180</v>
      </c>
      <c r="E579" s="6">
        <v>453897</v>
      </c>
      <c r="F579" s="6">
        <f>E579*0.19</f>
        <v>86240.430000000008</v>
      </c>
      <c r="G579" s="6">
        <f>E579+F579</f>
        <v>540137.4300000001</v>
      </c>
      <c r="H579" s="7">
        <f>IF(J579=TRUE(),E579,0)</f>
        <v>453897</v>
      </c>
      <c r="I579" s="7">
        <f>IF(K579=TRUE(),E579,0)</f>
        <v>0</v>
      </c>
      <c r="J579" t="b" s="4">
        <v>1</v>
      </c>
      <c r="K579" t="b" s="4">
        <v>0</v>
      </c>
    </row>
    <row r="580" ht="17" customHeight="1">
      <c r="A580" s="4">
        <v>495</v>
      </c>
      <c r="B580" s="5">
        <v>41153</v>
      </c>
      <c r="C580" t="s" s="3">
        <v>127</v>
      </c>
      <c r="D580" t="s" s="3">
        <v>180</v>
      </c>
      <c r="E580" s="6">
        <v>492248</v>
      </c>
      <c r="F580" s="6">
        <f>E580*0.19</f>
        <v>93527.12</v>
      </c>
      <c r="G580" s="6">
        <f>E580+F580</f>
        <v>585775.12</v>
      </c>
      <c r="H580" s="7">
        <f>IF(J580=TRUE(),E580,0)</f>
        <v>492248</v>
      </c>
      <c r="I580" s="7">
        <f>IF(K580=TRUE(),E580,0)</f>
        <v>0</v>
      </c>
      <c r="J580" t="b" s="4">
        <v>1</v>
      </c>
      <c r="K580" t="b" s="4">
        <v>0</v>
      </c>
    </row>
    <row r="581" ht="17" customHeight="1">
      <c r="A581" s="4">
        <v>496</v>
      </c>
      <c r="B581" s="5">
        <v>41153</v>
      </c>
      <c r="C581" t="s" s="3">
        <v>40</v>
      </c>
      <c r="D581" t="s" s="3">
        <v>180</v>
      </c>
      <c r="E581" s="6">
        <v>158000</v>
      </c>
      <c r="F581" s="6">
        <f>E581*0.19</f>
        <v>30020</v>
      </c>
      <c r="G581" s="6">
        <f>E581+F581</f>
        <v>188020</v>
      </c>
      <c r="H581" s="7">
        <f>IF(J581=TRUE(),E581,0)</f>
        <v>158000</v>
      </c>
      <c r="I581" s="7">
        <f>IF(K581=TRUE(),E581,0)</f>
        <v>0</v>
      </c>
      <c r="J581" t="b" s="4">
        <v>1</v>
      </c>
      <c r="K581" t="b" s="4">
        <v>0</v>
      </c>
    </row>
    <row r="582" ht="17.5" customHeight="1">
      <c r="A582" s="9">
        <v>497</v>
      </c>
      <c r="B582" s="5">
        <v>41153</v>
      </c>
      <c r="C582" t="s" s="10">
        <v>253</v>
      </c>
      <c r="D582" t="s" s="10">
        <v>305</v>
      </c>
      <c r="E582" s="11">
        <v>3634750</v>
      </c>
      <c r="F582" s="11">
        <f>E582*0.19</f>
        <v>690602.5</v>
      </c>
      <c r="G582" s="11">
        <f>E582+F582</f>
        <v>4325352.5</v>
      </c>
      <c r="H582" s="12">
        <f>IF(J582=TRUE(),E582,0)</f>
        <v>0</v>
      </c>
      <c r="I582" s="12">
        <f>IF(K582=TRUE(),E582,0)</f>
        <v>0</v>
      </c>
      <c r="J582" t="b" s="9">
        <v>0</v>
      </c>
      <c r="K582" t="b" s="9">
        <v>0</v>
      </c>
    </row>
    <row r="583" ht="18" customHeight="1">
      <c r="A583" s="13">
        <f>COUNT(A568:A582)</f>
        <v>15</v>
      </c>
      <c r="B583" t="s" s="3">
        <v>306</v>
      </c>
      <c r="C583" t="s" s="14">
        <v>7</v>
      </c>
      <c r="D583" s="14"/>
      <c r="E583" s="15">
        <f>SUM(E568:E582)</f>
        <v>6540888</v>
      </c>
      <c r="F583" s="15">
        <f>SUM(F568:F582)</f>
        <v>1242768.72</v>
      </c>
      <c r="G583" s="16">
        <f>SUM(G568:G582)</f>
        <v>7783656.720000001</v>
      </c>
      <c r="H583" s="17">
        <f>SUM(H568:H582)</f>
        <v>2906138</v>
      </c>
      <c r="I583" s="17"/>
      <c r="J583" s="18">
        <f>COUNTIF(J568:J582,TRUE())</f>
        <v>14</v>
      </c>
      <c r="K583" s="19"/>
    </row>
    <row r="584" ht="17.5" customHeight="1">
      <c r="A584" s="20"/>
      <c r="B584" s="5"/>
      <c r="C584" s="20"/>
      <c r="D584" s="21"/>
      <c r="E584" s="20"/>
      <c r="F584" s="20"/>
      <c r="G584" s="20"/>
      <c r="H584" s="22"/>
      <c r="I584" s="22"/>
      <c r="J584" s="20"/>
      <c r="K584" s="20"/>
    </row>
    <row r="585" ht="17" customHeight="1">
      <c r="A585" t="s" s="3">
        <v>1</v>
      </c>
      <c r="B585" t="s" s="3">
        <v>2</v>
      </c>
      <c r="C585" t="s" s="3">
        <v>3</v>
      </c>
      <c r="D585" t="s" s="3">
        <v>4</v>
      </c>
      <c r="E585" t="s" s="3">
        <v>5</v>
      </c>
      <c r="F585" t="s" s="3">
        <v>6</v>
      </c>
      <c r="G585" t="s" s="3">
        <v>7</v>
      </c>
      <c r="H585" s="7"/>
      <c r="I585" s="7"/>
      <c r="J585" s="8"/>
      <c r="K585" s="8"/>
    </row>
    <row r="586" ht="17" customHeight="1">
      <c r="A586" s="4">
        <v>498</v>
      </c>
      <c r="B586" s="5">
        <v>41183</v>
      </c>
      <c r="C586" t="s" s="3">
        <v>307</v>
      </c>
      <c r="D586" t="s" s="3">
        <v>308</v>
      </c>
      <c r="E586" s="6">
        <v>2804500</v>
      </c>
      <c r="F586" s="6">
        <f>E586*0.19</f>
        <v>532855</v>
      </c>
      <c r="G586" s="6">
        <f>E586+F586</f>
        <v>3337355</v>
      </c>
      <c r="H586" s="7">
        <f>IF(J586=TRUE(),E586,0)</f>
        <v>0</v>
      </c>
      <c r="I586" s="7">
        <f>IF(K586=TRUE(),E586,0)</f>
        <v>0</v>
      </c>
      <c r="J586" t="b" s="4">
        <v>0</v>
      </c>
      <c r="K586" t="b" s="4">
        <v>0</v>
      </c>
    </row>
    <row r="587" ht="17" customHeight="1">
      <c r="A587" s="4">
        <v>499</v>
      </c>
      <c r="B587" s="5">
        <v>41197</v>
      </c>
      <c r="C587" t="s" s="3">
        <v>307</v>
      </c>
      <c r="D587" t="s" s="3">
        <v>309</v>
      </c>
      <c r="E587" s="6">
        <v>1930000</v>
      </c>
      <c r="F587" s="6">
        <f>E587*0.19</f>
        <v>366700</v>
      </c>
      <c r="G587" s="6">
        <f>E587+F587</f>
        <v>2296700</v>
      </c>
      <c r="H587" s="7">
        <f>IF(J587=TRUE(),E587,0)</f>
        <v>0</v>
      </c>
      <c r="I587" s="7">
        <f>IF(K587=TRUE(),E587,0)</f>
        <v>0</v>
      </c>
      <c r="J587" t="b" s="4">
        <v>0</v>
      </c>
      <c r="K587" t="b" s="4">
        <v>0</v>
      </c>
    </row>
    <row r="588" ht="17" customHeight="1">
      <c r="A588" s="4">
        <v>500</v>
      </c>
      <c r="B588" s="5">
        <v>41183</v>
      </c>
      <c r="C588" t="s" s="3">
        <v>92</v>
      </c>
      <c r="D588" t="s" s="3">
        <v>180</v>
      </c>
      <c r="E588" s="6">
        <v>627000</v>
      </c>
      <c r="F588" s="6">
        <f>E588*0.19</f>
        <v>119130</v>
      </c>
      <c r="G588" s="6">
        <f>E588+F588</f>
        <v>746130</v>
      </c>
      <c r="H588" s="7">
        <f>IF(J588=TRUE(),E588,0)</f>
        <v>627000</v>
      </c>
      <c r="I588" s="7">
        <f>IF(K588=TRUE(),E588,0)</f>
        <v>0</v>
      </c>
      <c r="J588" t="b" s="4">
        <v>1</v>
      </c>
      <c r="K588" t="b" s="4">
        <v>0</v>
      </c>
    </row>
    <row r="589" ht="17" customHeight="1">
      <c r="A589" s="4">
        <v>501</v>
      </c>
      <c r="B589" s="5">
        <v>41183</v>
      </c>
      <c r="C589" t="s" s="3">
        <v>98</v>
      </c>
      <c r="D589" t="s" s="3">
        <v>180</v>
      </c>
      <c r="E589" s="6">
        <v>297000</v>
      </c>
      <c r="F589" s="6">
        <f>E589*0.19</f>
        <v>56430</v>
      </c>
      <c r="G589" s="6">
        <f>E589+F589</f>
        <v>353430</v>
      </c>
      <c r="H589" s="7">
        <f>IF(J589=TRUE(),E589,0)</f>
        <v>297000</v>
      </c>
      <c r="I589" s="7">
        <f>IF(K589=TRUE(),E589,0)</f>
        <v>0</v>
      </c>
      <c r="J589" t="b" s="4">
        <v>1</v>
      </c>
      <c r="K589" t="b" s="4">
        <v>0</v>
      </c>
    </row>
    <row r="590" ht="17" customHeight="1">
      <c r="A590" s="4">
        <v>502</v>
      </c>
      <c r="B590" s="5">
        <v>41183</v>
      </c>
      <c r="C590" t="s" s="3">
        <v>56</v>
      </c>
      <c r="D590" t="s" s="3">
        <v>197</v>
      </c>
      <c r="E590" s="6">
        <v>125000</v>
      </c>
      <c r="F590" s="6">
        <f>E590*0.19</f>
        <v>23750</v>
      </c>
      <c r="G590" s="6">
        <f>E590+F590</f>
        <v>148750</v>
      </c>
      <c r="H590" s="7">
        <f>IF(J590=TRUE(),E590,0)</f>
        <v>125000</v>
      </c>
      <c r="I590" s="7">
        <f>IF(K590=TRUE(),E590,0)</f>
        <v>0</v>
      </c>
      <c r="J590" t="b" s="4">
        <v>1</v>
      </c>
      <c r="K590" t="b" s="4">
        <v>0</v>
      </c>
    </row>
    <row r="591" ht="17" customHeight="1">
      <c r="A591" s="4">
        <v>503</v>
      </c>
      <c r="B591" s="5">
        <v>41183</v>
      </c>
      <c r="C591" t="s" s="3">
        <v>42</v>
      </c>
      <c r="D591" t="s" s="3">
        <v>197</v>
      </c>
      <c r="E591" s="6">
        <v>222311</v>
      </c>
      <c r="F591" s="6">
        <f>E591*0.19</f>
        <v>42239.09</v>
      </c>
      <c r="G591" s="6">
        <f>E591+F591</f>
        <v>264550.09</v>
      </c>
      <c r="H591" s="7">
        <f>IF(J591=TRUE(),E591,0)</f>
        <v>222311</v>
      </c>
      <c r="I591" s="7">
        <f>IF(K591=TRUE(),E591,0)</f>
        <v>0</v>
      </c>
      <c r="J591" t="b" s="4">
        <v>1</v>
      </c>
      <c r="K591" t="b" s="4">
        <v>0</v>
      </c>
    </row>
    <row r="592" ht="17" customHeight="1">
      <c r="A592" s="4">
        <v>504</v>
      </c>
      <c r="B592" s="5">
        <v>41183</v>
      </c>
      <c r="C592" t="s" s="3">
        <v>34</v>
      </c>
      <c r="D592" t="s" s="3">
        <v>197</v>
      </c>
      <c r="E592" s="6">
        <v>35244</v>
      </c>
      <c r="F592" s="6">
        <f>E592*0.19</f>
        <v>6696.36</v>
      </c>
      <c r="G592" s="6">
        <f>E592+F592</f>
        <v>41940.36</v>
      </c>
      <c r="H592" s="7">
        <f>IF(J592=TRUE(),E592,0)</f>
        <v>35244</v>
      </c>
      <c r="I592" s="7">
        <f>IF(K592=TRUE(),E592,0)</f>
        <v>0</v>
      </c>
      <c r="J592" t="b" s="4">
        <v>1</v>
      </c>
      <c r="K592" t="b" s="4">
        <v>0</v>
      </c>
    </row>
    <row r="593" ht="17" customHeight="1">
      <c r="A593" s="4">
        <v>505</v>
      </c>
      <c r="B593" s="5">
        <v>41183</v>
      </c>
      <c r="C593" t="s" s="3">
        <v>60</v>
      </c>
      <c r="D593" t="s" s="3">
        <v>197</v>
      </c>
      <c r="E593" s="6">
        <v>51511</v>
      </c>
      <c r="F593" s="6">
        <f>E593*0.19</f>
        <v>9787.09</v>
      </c>
      <c r="G593" s="6">
        <f>E593+F593</f>
        <v>61298.09</v>
      </c>
      <c r="H593" s="7">
        <f>IF(J593=TRUE(),E593,0)</f>
        <v>51511</v>
      </c>
      <c r="I593" s="7">
        <f>IF(K593=TRUE(),E593,0)</f>
        <v>0</v>
      </c>
      <c r="J593" t="b" s="4">
        <v>1</v>
      </c>
      <c r="K593" t="b" s="4">
        <v>0</v>
      </c>
    </row>
    <row r="594" ht="17" customHeight="1">
      <c r="A594" s="4">
        <v>506</v>
      </c>
      <c r="B594" s="5">
        <v>41183</v>
      </c>
      <c r="C594" t="s" s="3">
        <v>66</v>
      </c>
      <c r="D594" t="s" s="3">
        <v>197</v>
      </c>
      <c r="E594" s="6">
        <v>137815</v>
      </c>
      <c r="F594" s="6">
        <f>E594*0.19</f>
        <v>26184.85</v>
      </c>
      <c r="G594" s="6">
        <f>E594+F594</f>
        <v>163999.85</v>
      </c>
      <c r="H594" s="7">
        <f>IF(J594=TRUE(),E594,0)</f>
        <v>137815</v>
      </c>
      <c r="I594" s="7">
        <f>IF(K594=TRUE(),E594,0)</f>
        <v>0</v>
      </c>
      <c r="J594" t="b" s="4">
        <v>1</v>
      </c>
      <c r="K594" t="b" s="4">
        <v>0</v>
      </c>
    </row>
    <row r="595" ht="17" customHeight="1">
      <c r="A595" s="4">
        <v>507</v>
      </c>
      <c r="B595" s="5"/>
      <c r="C595" s="8"/>
      <c r="D595" s="3"/>
      <c r="E595" s="6">
        <v>0</v>
      </c>
      <c r="F595" s="6">
        <f>E595*0.19</f>
        <v>0</v>
      </c>
      <c r="G595" s="6">
        <f>E595+F595</f>
        <v>0</v>
      </c>
      <c r="H595" s="7">
        <f>IF(J595=TRUE(),E595,0)</f>
        <v>0</v>
      </c>
      <c r="I595" s="7">
        <f>IF(K595=TRUE(),E595,0)</f>
        <v>0</v>
      </c>
      <c r="J595" t="b" s="4">
        <v>1</v>
      </c>
      <c r="K595" t="b" s="4">
        <v>0</v>
      </c>
    </row>
    <row r="596" ht="17" customHeight="1">
      <c r="A596" s="4">
        <v>508</v>
      </c>
      <c r="B596" s="5">
        <v>41183</v>
      </c>
      <c r="C596" t="s" s="3">
        <v>230</v>
      </c>
      <c r="D596" t="s" s="3">
        <v>197</v>
      </c>
      <c r="E596" s="6">
        <v>22593</v>
      </c>
      <c r="F596" s="6">
        <f>E596*0.19</f>
        <v>4292.67</v>
      </c>
      <c r="G596" s="6">
        <f>E596+F596</f>
        <v>26885.67</v>
      </c>
      <c r="H596" s="7">
        <f>IF(J596=TRUE(),E596,0)</f>
        <v>22593</v>
      </c>
      <c r="I596" s="7">
        <f>IF(K596=TRUE(),E596,0)</f>
        <v>0</v>
      </c>
      <c r="J596" t="b" s="4">
        <v>1</v>
      </c>
      <c r="K596" t="b" s="4">
        <v>0</v>
      </c>
    </row>
    <row r="597" ht="17" customHeight="1">
      <c r="A597" s="4">
        <v>509</v>
      </c>
      <c r="B597" s="5">
        <v>41183</v>
      </c>
      <c r="C597" t="s" s="3">
        <v>241</v>
      </c>
      <c r="D597" t="s" s="3">
        <v>197</v>
      </c>
      <c r="E597" s="6">
        <v>109122</v>
      </c>
      <c r="F597" s="6">
        <f>E597*0.19</f>
        <v>20733.18</v>
      </c>
      <c r="G597" s="6">
        <f>E597+F597</f>
        <v>129855.18</v>
      </c>
      <c r="H597" s="7">
        <f>IF(J597=TRUE(),E597,0)</f>
        <v>109122</v>
      </c>
      <c r="I597" s="7">
        <f>IF(K597=TRUE(),E597,0)</f>
        <v>0</v>
      </c>
      <c r="J597" t="b" s="4">
        <v>1</v>
      </c>
      <c r="K597" t="b" s="4">
        <v>0</v>
      </c>
    </row>
    <row r="598" ht="17" customHeight="1">
      <c r="A598" s="4">
        <v>510</v>
      </c>
      <c r="B598" s="5">
        <v>41183</v>
      </c>
      <c r="C598" t="s" s="3">
        <v>268</v>
      </c>
      <c r="D598" t="s" s="3">
        <v>197</v>
      </c>
      <c r="E598" s="6">
        <v>50833</v>
      </c>
      <c r="F598" s="6">
        <f>E598*0.19</f>
        <v>9658.27</v>
      </c>
      <c r="G598" s="6">
        <f>E598+F598</f>
        <v>60491.27</v>
      </c>
      <c r="H598" s="7">
        <f>IF(J598=TRUE(),E598,0)</f>
        <v>50833</v>
      </c>
      <c r="I598" s="7">
        <f>IF(K598=TRUE(),E598,0)</f>
        <v>0</v>
      </c>
      <c r="J598" t="b" s="4">
        <v>1</v>
      </c>
      <c r="K598" t="b" s="4">
        <v>0</v>
      </c>
    </row>
    <row r="599" ht="17" customHeight="1">
      <c r="A599" s="4">
        <v>511</v>
      </c>
      <c r="B599" s="5">
        <v>41183</v>
      </c>
      <c r="C599" t="s" s="3">
        <v>120</v>
      </c>
      <c r="D599" t="s" s="3">
        <v>197</v>
      </c>
      <c r="E599" s="6">
        <v>454562</v>
      </c>
      <c r="F599" s="6">
        <f>E599*0.19</f>
        <v>86366.78</v>
      </c>
      <c r="G599" s="6">
        <f>E599+F599</f>
        <v>540928.78</v>
      </c>
      <c r="H599" s="7">
        <f>IF(J599=TRUE(),E599,0)</f>
        <v>454562</v>
      </c>
      <c r="I599" s="7">
        <f>IF(K599=TRUE(),E599,0)</f>
        <v>0</v>
      </c>
      <c r="J599" t="b" s="4">
        <v>1</v>
      </c>
      <c r="K599" t="b" s="4">
        <v>0</v>
      </c>
    </row>
    <row r="600" ht="17" customHeight="1">
      <c r="A600" s="4">
        <v>512</v>
      </c>
      <c r="B600" s="5">
        <v>41183</v>
      </c>
      <c r="C600" t="s" s="3">
        <v>127</v>
      </c>
      <c r="D600" t="s" s="3">
        <v>197</v>
      </c>
      <c r="E600" s="6">
        <v>492970</v>
      </c>
      <c r="F600" s="6">
        <f>E600*0.19</f>
        <v>93664.3</v>
      </c>
      <c r="G600" s="6">
        <f>E600+F600</f>
        <v>586634.3</v>
      </c>
      <c r="H600" s="7">
        <f>IF(J600=TRUE(),E600,0)</f>
        <v>492970</v>
      </c>
      <c r="I600" s="7">
        <f>IF(K600=TRUE(),E600,0)</f>
        <v>0</v>
      </c>
      <c r="J600" t="b" s="4">
        <v>1</v>
      </c>
      <c r="K600" t="b" s="4">
        <v>0</v>
      </c>
    </row>
    <row r="601" ht="17" customHeight="1">
      <c r="A601" s="4">
        <v>513</v>
      </c>
      <c r="B601" s="5">
        <v>41183</v>
      </c>
      <c r="C601" t="s" s="3">
        <v>40</v>
      </c>
      <c r="D601" t="s" s="3">
        <v>197</v>
      </c>
      <c r="E601" s="6">
        <v>158000</v>
      </c>
      <c r="F601" s="6">
        <f>E601*0.19</f>
        <v>30020</v>
      </c>
      <c r="G601" s="6">
        <f>E601+F601</f>
        <v>188020</v>
      </c>
      <c r="H601" s="7">
        <f>IF(J601=TRUE(),E601,0)</f>
        <v>158000</v>
      </c>
      <c r="I601" s="7">
        <f>IF(K601=TRUE(),E601,0)</f>
        <v>0</v>
      </c>
      <c r="J601" t="b" s="4">
        <v>1</v>
      </c>
      <c r="K601" t="b" s="4">
        <v>0</v>
      </c>
    </row>
    <row r="602" ht="17" customHeight="1">
      <c r="A602" s="4">
        <v>514</v>
      </c>
      <c r="B602" s="5">
        <v>41183</v>
      </c>
      <c r="C602" t="s" s="3">
        <v>58</v>
      </c>
      <c r="D602" t="s" s="3">
        <v>310</v>
      </c>
      <c r="E602" s="6">
        <v>1099250</v>
      </c>
      <c r="F602" s="6">
        <f>E602*0.19</f>
        <v>208857.5</v>
      </c>
      <c r="G602" s="6">
        <f>E602+F602</f>
        <v>1308107.5</v>
      </c>
      <c r="H602" s="7">
        <f>IF(J602=TRUE(),E602,0)</f>
        <v>0</v>
      </c>
      <c r="I602" s="7">
        <f>IF(K602=TRUE(),E602,0)</f>
        <v>0</v>
      </c>
      <c r="J602" t="b" s="4">
        <v>0</v>
      </c>
      <c r="K602" t="b" s="4">
        <v>0</v>
      </c>
    </row>
    <row r="603" ht="17" customHeight="1">
      <c r="A603" s="4">
        <v>515</v>
      </c>
      <c r="B603" s="5">
        <v>41183</v>
      </c>
      <c r="C603" t="s" s="3">
        <v>22</v>
      </c>
      <c r="D603" t="s" s="3">
        <v>197</v>
      </c>
      <c r="E603" s="6">
        <v>157244</v>
      </c>
      <c r="F603" s="6">
        <f>E603*0.19</f>
        <v>29876.36</v>
      </c>
      <c r="G603" s="6">
        <f>E603+F603</f>
        <v>187120.36</v>
      </c>
      <c r="H603" s="7">
        <f>IF(J603=TRUE(),E603,0)</f>
        <v>157244</v>
      </c>
      <c r="I603" s="7">
        <f>IF(K603=TRUE(),E603,0)</f>
        <v>0</v>
      </c>
      <c r="J603" t="b" s="4">
        <v>1</v>
      </c>
      <c r="K603" t="b" s="4">
        <v>0</v>
      </c>
    </row>
    <row r="604" ht="17" customHeight="1">
      <c r="A604" s="4">
        <v>516</v>
      </c>
      <c r="B604" s="5">
        <v>41201</v>
      </c>
      <c r="C604" t="s" s="3">
        <v>22</v>
      </c>
      <c r="D604" t="s" s="3">
        <v>311</v>
      </c>
      <c r="E604" s="6">
        <v>160200</v>
      </c>
      <c r="F604" s="6">
        <f>E604*0.19</f>
        <v>30438</v>
      </c>
      <c r="G604" s="6">
        <f>E604+F604</f>
        <v>190638</v>
      </c>
      <c r="H604" s="7">
        <f>IF(J604=TRUE(),E604,0)</f>
        <v>0</v>
      </c>
      <c r="I604" s="7">
        <f>IF(K604=TRUE(),E604,0)</f>
        <v>0</v>
      </c>
      <c r="J604" t="b" s="4">
        <v>0</v>
      </c>
      <c r="K604" t="b" s="4">
        <v>0</v>
      </c>
    </row>
    <row r="605" ht="17" customHeight="1">
      <c r="A605" s="4">
        <v>517</v>
      </c>
      <c r="B605" s="5">
        <v>41211</v>
      </c>
      <c r="C605" t="s" s="3">
        <v>312</v>
      </c>
      <c r="D605" t="s" s="3">
        <v>180</v>
      </c>
      <c r="E605" s="6">
        <v>51887</v>
      </c>
      <c r="F605" s="6">
        <f>E605*0.19</f>
        <v>9858.530000000001</v>
      </c>
      <c r="G605" s="6">
        <f>E605+F605</f>
        <v>61745.53</v>
      </c>
      <c r="H605" s="7">
        <f>IF(J605=TRUE(),E605,0)</f>
        <v>51887</v>
      </c>
      <c r="I605" s="7">
        <f>IF(K605=TRUE(),E605,0)</f>
        <v>0</v>
      </c>
      <c r="J605" t="b" s="4">
        <v>1</v>
      </c>
      <c r="K605" t="b" s="4">
        <v>0</v>
      </c>
    </row>
    <row r="606" ht="17" customHeight="1">
      <c r="A606" s="4">
        <v>518</v>
      </c>
      <c r="B606" s="5">
        <v>41207</v>
      </c>
      <c r="C606" t="s" s="3">
        <v>58</v>
      </c>
      <c r="D606" t="s" s="3">
        <v>313</v>
      </c>
      <c r="E606" s="6">
        <v>68093</v>
      </c>
      <c r="F606" s="6">
        <f>E606*0.19</f>
        <v>12937.67</v>
      </c>
      <c r="G606" s="6">
        <f>E606+F606</f>
        <v>81030.67</v>
      </c>
      <c r="H606" s="7">
        <f>IF(J606=TRUE(),E606,0)</f>
        <v>0</v>
      </c>
      <c r="I606" s="7">
        <f>IF(K606=TRUE(),E606,0)</f>
        <v>0</v>
      </c>
      <c r="J606" t="b" s="4">
        <v>0</v>
      </c>
      <c r="K606" t="b" s="4">
        <v>0</v>
      </c>
    </row>
    <row r="607" ht="17.5" customHeight="1">
      <c r="A607" s="9">
        <v>519</v>
      </c>
      <c r="B607" s="5">
        <v>41206</v>
      </c>
      <c r="C607" t="s" s="10">
        <v>58</v>
      </c>
      <c r="D607" t="s" s="10">
        <v>314</v>
      </c>
      <c r="E607" s="11">
        <v>249611</v>
      </c>
      <c r="F607" s="11">
        <f>E607*0.19</f>
        <v>47426.09</v>
      </c>
      <c r="G607" s="11">
        <f>E607+F607</f>
        <v>297037.09</v>
      </c>
      <c r="H607" s="12">
        <f>IF(J607=TRUE(),E607,0)</f>
        <v>0</v>
      </c>
      <c r="I607" s="12">
        <f>IF(K607=TRUE(),E607,0)</f>
        <v>0</v>
      </c>
      <c r="J607" t="b" s="9">
        <v>0</v>
      </c>
      <c r="K607" t="b" s="9">
        <v>0</v>
      </c>
    </row>
    <row r="608" ht="18" customHeight="1">
      <c r="A608" s="13">
        <f>COUNT(A586:A607)</f>
        <v>22</v>
      </c>
      <c r="B608" t="s" s="3">
        <v>315</v>
      </c>
      <c r="C608" t="s" s="14">
        <v>7</v>
      </c>
      <c r="D608" s="14"/>
      <c r="E608" s="15">
        <f>SUM(E586:E607)</f>
        <v>9304746</v>
      </c>
      <c r="F608" s="15">
        <f>SUM(F586:F607)</f>
        <v>1767901.74</v>
      </c>
      <c r="G608" s="16">
        <f>SUM(G586:G607)</f>
        <v>11072647.74</v>
      </c>
      <c r="H608" s="17">
        <f>SUM(H586:H607)</f>
        <v>2993092</v>
      </c>
      <c r="I608" s="17"/>
      <c r="J608" s="18">
        <f>COUNTIF(J586:J607,TRUE())</f>
        <v>16</v>
      </c>
      <c r="K608" s="19"/>
    </row>
    <row r="609" ht="17.5" customHeight="1">
      <c r="A609" s="20"/>
      <c r="B609" s="5"/>
      <c r="C609" s="20"/>
      <c r="D609" s="21"/>
      <c r="E609" s="20"/>
      <c r="F609" s="20"/>
      <c r="G609" s="20"/>
      <c r="H609" s="22"/>
      <c r="I609" s="22"/>
      <c r="J609" s="20"/>
      <c r="K609" s="20"/>
    </row>
    <row r="610" ht="17" customHeight="1">
      <c r="A610" t="s" s="3">
        <v>1</v>
      </c>
      <c r="B610" t="s" s="3">
        <v>2</v>
      </c>
      <c r="C610" t="s" s="3">
        <v>3</v>
      </c>
      <c r="D610" t="s" s="3">
        <v>4</v>
      </c>
      <c r="E610" t="s" s="3">
        <v>5</v>
      </c>
      <c r="F610" t="s" s="3">
        <v>6</v>
      </c>
      <c r="G610" t="s" s="3">
        <v>7</v>
      </c>
      <c r="H610" s="7"/>
      <c r="I610" s="7"/>
      <c r="J610" s="8"/>
      <c r="K610" s="8"/>
    </row>
    <row r="611" ht="17" customHeight="1">
      <c r="A611" s="4">
        <v>520</v>
      </c>
      <c r="B611" s="5">
        <v>41214</v>
      </c>
      <c r="C611" t="s" s="3">
        <v>92</v>
      </c>
      <c r="D611" t="s" s="3">
        <v>197</v>
      </c>
      <c r="E611" s="6">
        <v>759000</v>
      </c>
      <c r="F611" s="6">
        <f>E611*0.19</f>
        <v>144210</v>
      </c>
      <c r="G611" s="6">
        <f>E611+F611</f>
        <v>903210</v>
      </c>
      <c r="H611" s="7">
        <f>IF(J611=TRUE(),E611,0)</f>
        <v>759000</v>
      </c>
      <c r="I611" s="7">
        <f>IF(K611=TRUE(),E611,0)</f>
        <v>0</v>
      </c>
      <c r="J611" t="b" s="4">
        <v>1</v>
      </c>
      <c r="K611" t="b" s="4">
        <v>0</v>
      </c>
    </row>
    <row r="612" ht="17" customHeight="1">
      <c r="A612" s="4">
        <v>521</v>
      </c>
      <c r="B612" s="5">
        <v>41214</v>
      </c>
      <c r="C612" t="s" s="3">
        <v>98</v>
      </c>
      <c r="D612" t="s" s="3">
        <v>197</v>
      </c>
      <c r="E612" s="6">
        <v>495000</v>
      </c>
      <c r="F612" s="6">
        <f>E612*0.19</f>
        <v>94050</v>
      </c>
      <c r="G612" s="6">
        <f>E612+F612</f>
        <v>589050</v>
      </c>
      <c r="H612" s="7">
        <f>IF(J612=TRUE(),E612,0)</f>
        <v>495000</v>
      </c>
      <c r="I612" s="7">
        <f>IF(K612=TRUE(),E612,0)</f>
        <v>0</v>
      </c>
      <c r="J612" t="b" s="4">
        <v>1</v>
      </c>
      <c r="K612" t="b" s="4">
        <v>0</v>
      </c>
    </row>
    <row r="613" ht="17" customHeight="1">
      <c r="A613" s="4">
        <v>522</v>
      </c>
      <c r="B613" s="5">
        <v>41214</v>
      </c>
      <c r="C613" t="s" s="3">
        <v>56</v>
      </c>
      <c r="D613" t="s" s="3">
        <v>211</v>
      </c>
      <c r="E613" s="6">
        <v>125000</v>
      </c>
      <c r="F613" s="6">
        <f>E613*0.19</f>
        <v>23750</v>
      </c>
      <c r="G613" s="6">
        <f>E613+F613</f>
        <v>148750</v>
      </c>
      <c r="H613" s="7">
        <f>IF(J613=TRUE(),E613,0)</f>
        <v>125000</v>
      </c>
      <c r="I613" s="7">
        <f>IF(K613=TRUE(),E613,0)</f>
        <v>0</v>
      </c>
      <c r="J613" t="b" s="4">
        <v>1</v>
      </c>
      <c r="K613" t="b" s="4">
        <v>0</v>
      </c>
    </row>
    <row r="614" ht="17" customHeight="1">
      <c r="A614" s="4">
        <v>523</v>
      </c>
      <c r="B614" s="5">
        <v>41214</v>
      </c>
      <c r="C614" t="s" s="3">
        <v>42</v>
      </c>
      <c r="D614" t="s" s="3">
        <v>211</v>
      </c>
      <c r="E614" s="6">
        <v>223748</v>
      </c>
      <c r="F614" s="6">
        <f>E614*0.19</f>
        <v>42512.12</v>
      </c>
      <c r="G614" s="6">
        <f>E614+F614</f>
        <v>266260.12</v>
      </c>
      <c r="H614" s="7">
        <f>IF(J614=TRUE(),E614,0)</f>
        <v>223748</v>
      </c>
      <c r="I614" s="7">
        <f>IF(K614=TRUE(),E614,0)</f>
        <v>0</v>
      </c>
      <c r="J614" t="b" s="4">
        <v>1</v>
      </c>
      <c r="K614" t="b" s="4">
        <v>0</v>
      </c>
    </row>
    <row r="615" ht="17" customHeight="1">
      <c r="A615" s="4">
        <v>524</v>
      </c>
      <c r="B615" s="5">
        <v>41214</v>
      </c>
      <c r="C615" t="s" s="3">
        <v>34</v>
      </c>
      <c r="D615" t="s" s="3">
        <v>211</v>
      </c>
      <c r="E615" s="6">
        <v>35472</v>
      </c>
      <c r="F615" s="6">
        <f>E615*0.19</f>
        <v>6739.68</v>
      </c>
      <c r="G615" s="6">
        <f>E615+F615</f>
        <v>42211.68</v>
      </c>
      <c r="H615" s="7">
        <f>IF(J615=TRUE(),E615,0)</f>
        <v>35472</v>
      </c>
      <c r="I615" s="7">
        <f>IF(K615=TRUE(),E615,0)</f>
        <v>0</v>
      </c>
      <c r="J615" t="b" s="4">
        <v>1</v>
      </c>
      <c r="K615" t="b" s="4">
        <v>0</v>
      </c>
    </row>
    <row r="616" ht="17" customHeight="1">
      <c r="A616" s="4">
        <v>525</v>
      </c>
      <c r="B616" s="5">
        <v>41214</v>
      </c>
      <c r="C616" t="s" s="3">
        <v>60</v>
      </c>
      <c r="D616" t="s" s="3">
        <v>211</v>
      </c>
      <c r="E616" s="6">
        <v>51844</v>
      </c>
      <c r="F616" s="6">
        <f>E616*0.19</f>
        <v>9850.360000000001</v>
      </c>
      <c r="G616" s="6">
        <f>E616+F616</f>
        <v>61694.36</v>
      </c>
      <c r="H616" s="7">
        <f>IF(J616=TRUE(),E616,0)</f>
        <v>51844</v>
      </c>
      <c r="I616" s="7">
        <f>IF(K616=TRUE(),E616,0)</f>
        <v>0</v>
      </c>
      <c r="J616" t="b" s="4">
        <v>1</v>
      </c>
      <c r="K616" t="b" s="4">
        <v>0</v>
      </c>
    </row>
    <row r="617" ht="17" customHeight="1">
      <c r="A617" s="4">
        <v>526</v>
      </c>
      <c r="B617" s="5">
        <v>41214</v>
      </c>
      <c r="C617" t="s" s="3">
        <v>66</v>
      </c>
      <c r="D617" t="s" s="3">
        <v>211</v>
      </c>
      <c r="E617" s="6">
        <v>138706</v>
      </c>
      <c r="F617" s="6">
        <f>E617*0.19</f>
        <v>26354.14</v>
      </c>
      <c r="G617" s="6">
        <f>E617+F617</f>
        <v>165060.14</v>
      </c>
      <c r="H617" s="7">
        <f>IF(J617=TRUE(),E617,0)</f>
        <v>138706</v>
      </c>
      <c r="I617" s="7">
        <f>IF(K617=TRUE(),E617,0)</f>
        <v>0</v>
      </c>
      <c r="J617" t="b" s="4">
        <v>1</v>
      </c>
      <c r="K617" t="b" s="4">
        <v>0</v>
      </c>
    </row>
    <row r="618" ht="17" customHeight="1">
      <c r="A618" s="4">
        <v>527</v>
      </c>
      <c r="B618" s="5">
        <v>41214</v>
      </c>
      <c r="C618" t="s" s="3">
        <v>230</v>
      </c>
      <c r="D618" t="s" s="3">
        <v>211</v>
      </c>
      <c r="E618" s="6">
        <v>227386</v>
      </c>
      <c r="F618" s="6">
        <f>E618*0.19</f>
        <v>43203.34</v>
      </c>
      <c r="G618" s="6">
        <f>E618+F618</f>
        <v>270589.34</v>
      </c>
      <c r="H618" s="7">
        <f>IF(J618=TRUE(),E618,0)</f>
        <v>227386</v>
      </c>
      <c r="I618" s="7">
        <f>IF(K618=TRUE(),E618,0)</f>
        <v>0</v>
      </c>
      <c r="J618" t="b" s="4">
        <v>1</v>
      </c>
      <c r="K618" t="b" s="4">
        <v>0</v>
      </c>
    </row>
    <row r="619" ht="17" customHeight="1">
      <c r="A619" s="4">
        <v>528</v>
      </c>
      <c r="B619" s="5">
        <v>41214</v>
      </c>
      <c r="C619" t="s" s="3">
        <v>241</v>
      </c>
      <c r="D619" t="s" s="3">
        <v>211</v>
      </c>
      <c r="E619" s="6">
        <v>109828</v>
      </c>
      <c r="F619" s="6">
        <f>E619*0.19</f>
        <v>20867.32</v>
      </c>
      <c r="G619" s="6">
        <f>E619+F619</f>
        <v>130695.32</v>
      </c>
      <c r="H619" s="7">
        <f>IF(J619=TRUE(),E619,0)</f>
        <v>109828</v>
      </c>
      <c r="I619" s="7">
        <f>IF(K619=TRUE(),E619,0)</f>
        <v>0</v>
      </c>
      <c r="J619" t="b" s="4">
        <v>1</v>
      </c>
      <c r="K619" t="b" s="4">
        <v>0</v>
      </c>
    </row>
    <row r="620" ht="17" customHeight="1">
      <c r="A620" s="4">
        <v>529</v>
      </c>
      <c r="B620" s="5">
        <v>41214</v>
      </c>
      <c r="C620" t="s" s="3">
        <v>268</v>
      </c>
      <c r="D620" t="s" s="3">
        <v>211</v>
      </c>
      <c r="E620" s="6">
        <v>51162</v>
      </c>
      <c r="F620" s="6">
        <f>E620*0.19</f>
        <v>9720.780000000001</v>
      </c>
      <c r="G620" s="6">
        <f>E620+F620</f>
        <v>60882.78</v>
      </c>
      <c r="H620" s="7">
        <f>IF(J620=TRUE(),E620,0)</f>
        <v>51162</v>
      </c>
      <c r="I620" s="7">
        <f>IF(K620=TRUE(),E620,0)</f>
        <v>0</v>
      </c>
      <c r="J620" t="b" s="4">
        <v>1</v>
      </c>
      <c r="K620" t="b" s="4">
        <v>0</v>
      </c>
    </row>
    <row r="621" ht="17" customHeight="1">
      <c r="A621" s="4">
        <v>530</v>
      </c>
      <c r="B621" s="5">
        <v>41214</v>
      </c>
      <c r="C621" t="s" s="3">
        <v>120</v>
      </c>
      <c r="D621" t="s" s="3">
        <v>211</v>
      </c>
      <c r="E621" s="6">
        <v>477966</v>
      </c>
      <c r="F621" s="6">
        <f>E621*0.19</f>
        <v>90813.540000000008</v>
      </c>
      <c r="G621" s="6">
        <f>E621+F621</f>
        <v>568779.54</v>
      </c>
      <c r="H621" s="7">
        <f>IF(J621=TRUE(),E621,0)</f>
        <v>477966</v>
      </c>
      <c r="I621" s="7">
        <f>IF(K621=TRUE(),E621,0)</f>
        <v>0</v>
      </c>
      <c r="J621" t="b" s="4">
        <v>1</v>
      </c>
      <c r="K621" t="b" s="4">
        <v>0</v>
      </c>
    </row>
    <row r="622" ht="17" customHeight="1">
      <c r="A622" s="4">
        <v>531</v>
      </c>
      <c r="B622" s="5">
        <v>41214</v>
      </c>
      <c r="C622" t="s" s="3">
        <v>127</v>
      </c>
      <c r="D622" t="s" s="3">
        <v>211</v>
      </c>
      <c r="E622" s="6">
        <v>582109</v>
      </c>
      <c r="F622" s="6">
        <f>E622*0.19</f>
        <v>110600.71</v>
      </c>
      <c r="G622" s="6">
        <f>E622+F622</f>
        <v>692709.71</v>
      </c>
      <c r="H622" s="7">
        <f>IF(J622=TRUE(),E622,0)</f>
        <v>582109</v>
      </c>
      <c r="I622" s="7">
        <f>IF(K622=TRUE(),E622,0)</f>
        <v>0</v>
      </c>
      <c r="J622" t="b" s="4">
        <v>1</v>
      </c>
      <c r="K622" t="b" s="4">
        <v>0</v>
      </c>
    </row>
    <row r="623" ht="17" customHeight="1">
      <c r="A623" s="4">
        <v>532</v>
      </c>
      <c r="B623" s="5">
        <v>41214</v>
      </c>
      <c r="C623" t="s" s="3">
        <v>40</v>
      </c>
      <c r="D623" t="s" s="3">
        <v>211</v>
      </c>
      <c r="E623" s="6">
        <v>158000</v>
      </c>
      <c r="F623" s="6">
        <f>E623*0.19</f>
        <v>30020</v>
      </c>
      <c r="G623" s="6">
        <f>E623+F623</f>
        <v>188020</v>
      </c>
      <c r="H623" s="7">
        <f>IF(J623=TRUE(),E623,0)</f>
        <v>158000</v>
      </c>
      <c r="I623" s="7">
        <f>IF(K623=TRUE(),E623,0)</f>
        <v>0</v>
      </c>
      <c r="J623" t="b" s="4">
        <v>1</v>
      </c>
      <c r="K623" t="b" s="4">
        <v>0</v>
      </c>
    </row>
    <row r="624" ht="17" customHeight="1">
      <c r="A624" s="4">
        <v>533</v>
      </c>
      <c r="B624" s="5">
        <v>41214</v>
      </c>
      <c r="C624" t="s" s="3">
        <v>22</v>
      </c>
      <c r="D624" t="s" s="3">
        <v>211</v>
      </c>
      <c r="E624" s="6">
        <v>158261</v>
      </c>
      <c r="F624" s="6">
        <f>E624*0.19</f>
        <v>30069.59</v>
      </c>
      <c r="G624" s="6">
        <f>E624+F624</f>
        <v>188330.59</v>
      </c>
      <c r="H624" s="7">
        <f>IF(J624=TRUE(),E624,0)</f>
        <v>158261</v>
      </c>
      <c r="I624" s="7">
        <f>IF(K624=TRUE(),E624,0)</f>
        <v>0</v>
      </c>
      <c r="J624" t="b" s="4">
        <v>1</v>
      </c>
      <c r="K624" t="b" s="4">
        <v>0</v>
      </c>
    </row>
    <row r="625" ht="17" customHeight="1">
      <c r="A625" s="4">
        <v>534</v>
      </c>
      <c r="B625" s="5">
        <v>41218</v>
      </c>
      <c r="C625" t="s" s="3">
        <v>316</v>
      </c>
      <c r="D625" t="s" s="3">
        <v>211</v>
      </c>
      <c r="E625" s="6">
        <v>170540</v>
      </c>
      <c r="F625" s="6">
        <f>E625*0.19</f>
        <v>32402.6</v>
      </c>
      <c r="G625" s="6">
        <f>E625+F625</f>
        <v>202942.6</v>
      </c>
      <c r="H625" s="7">
        <f>IF(J625=TRUE(),E625,0)</f>
        <v>170540</v>
      </c>
      <c r="I625" s="7">
        <f>IF(K625=TRUE(),E625,0)</f>
        <v>0</v>
      </c>
      <c r="J625" t="b" s="4">
        <v>1</v>
      </c>
      <c r="K625" t="b" s="4">
        <v>0</v>
      </c>
    </row>
    <row r="626" ht="17" customHeight="1">
      <c r="A626" s="4">
        <v>535</v>
      </c>
      <c r="B626" s="5">
        <v>41220</v>
      </c>
      <c r="C626" t="s" s="3">
        <v>307</v>
      </c>
      <c r="D626" t="s" s="3">
        <v>317</v>
      </c>
      <c r="E626" s="6">
        <v>2780500</v>
      </c>
      <c r="F626" s="6">
        <f>E626*0.19</f>
        <v>528295</v>
      </c>
      <c r="G626" s="6">
        <f>E626+F626</f>
        <v>3308795</v>
      </c>
      <c r="H626" s="7">
        <f>IF(J626=TRUE(),E626,0)</f>
        <v>0</v>
      </c>
      <c r="I626" s="7">
        <f>IF(K626=TRUE(),E626,0)</f>
        <v>0</v>
      </c>
      <c r="J626" t="b" s="4">
        <v>0</v>
      </c>
      <c r="K626" t="b" s="4">
        <v>0</v>
      </c>
    </row>
    <row r="627" ht="17" customHeight="1">
      <c r="A627" s="4">
        <v>536</v>
      </c>
      <c r="B627" s="5">
        <v>41234</v>
      </c>
      <c r="C627" t="s" s="3">
        <v>318</v>
      </c>
      <c r="D627" t="s" s="3">
        <v>319</v>
      </c>
      <c r="E627" s="6">
        <v>575600</v>
      </c>
      <c r="F627" s="6">
        <f>E627*0.19</f>
        <v>109364</v>
      </c>
      <c r="G627" s="6">
        <f>E627+F627</f>
        <v>684964</v>
      </c>
      <c r="H627" s="7">
        <f>IF(J627=TRUE(),E627,0)</f>
        <v>0</v>
      </c>
      <c r="I627" s="7">
        <f>IF(K627=TRUE(),E627,0)</f>
        <v>0</v>
      </c>
      <c r="J627" t="b" s="4">
        <v>0</v>
      </c>
      <c r="K627" t="b" s="4">
        <v>0</v>
      </c>
    </row>
    <row r="628" ht="17" customHeight="1">
      <c r="A628" s="4">
        <v>537</v>
      </c>
      <c r="B628" s="5">
        <v>41242</v>
      </c>
      <c r="C628" t="s" s="3">
        <v>25</v>
      </c>
      <c r="D628" t="s" s="3">
        <v>320</v>
      </c>
      <c r="E628" s="6">
        <v>260000</v>
      </c>
      <c r="F628" s="6">
        <f>E628*0.19</f>
        <v>49400</v>
      </c>
      <c r="G628" s="6">
        <f>E628+F628</f>
        <v>309400</v>
      </c>
      <c r="H628" s="7">
        <f>IF(J628=TRUE(),E628,0)</f>
        <v>0</v>
      </c>
      <c r="I628" s="7">
        <f>IF(K628=TRUE(),E628,0)</f>
        <v>0</v>
      </c>
      <c r="J628" t="b" s="4">
        <v>0</v>
      </c>
      <c r="K628" t="b" s="4">
        <v>0</v>
      </c>
    </row>
    <row r="629" ht="17" customHeight="1">
      <c r="A629" s="4">
        <v>538</v>
      </c>
      <c r="B629" s="5">
        <v>41214</v>
      </c>
      <c r="C629" t="s" s="3">
        <v>312</v>
      </c>
      <c r="D629" t="s" s="3">
        <v>211</v>
      </c>
      <c r="E629" s="6">
        <v>52299</v>
      </c>
      <c r="F629" s="6">
        <f>E629*0.19</f>
        <v>9936.809999999999</v>
      </c>
      <c r="G629" s="6">
        <f>E629+F629</f>
        <v>62235.81</v>
      </c>
      <c r="H629" s="7">
        <f>IF(J629=TRUE(),E629,0)</f>
        <v>52299</v>
      </c>
      <c r="I629" s="7">
        <f>IF(K629=TRUE(),E629,0)</f>
        <v>0</v>
      </c>
      <c r="J629" t="b" s="4">
        <v>1</v>
      </c>
      <c r="K629" t="b" s="4">
        <v>0</v>
      </c>
    </row>
    <row r="630" ht="17" customHeight="1">
      <c r="A630" s="4">
        <v>539</v>
      </c>
      <c r="B630" s="5">
        <v>41242</v>
      </c>
      <c r="C630" t="s" s="3">
        <v>40</v>
      </c>
      <c r="D630" t="s" s="3">
        <v>124</v>
      </c>
      <c r="E630" s="6">
        <v>50000</v>
      </c>
      <c r="F630" s="6">
        <f>E630*0.19</f>
        <v>9500</v>
      </c>
      <c r="G630" s="6">
        <f>E630+F630</f>
        <v>59500</v>
      </c>
      <c r="H630" s="7">
        <f>IF(J630=TRUE(),E630,0)</f>
        <v>0</v>
      </c>
      <c r="I630" s="7">
        <f>IF(K630=TRUE(),E630,0)</f>
        <v>0</v>
      </c>
      <c r="J630" t="b" s="4">
        <v>0</v>
      </c>
      <c r="K630" t="b" s="4">
        <v>0</v>
      </c>
    </row>
    <row r="631" ht="17" customHeight="1">
      <c r="A631" s="4">
        <v>540</v>
      </c>
      <c r="B631" s="5">
        <v>41242</v>
      </c>
      <c r="C631" t="s" s="3">
        <v>307</v>
      </c>
      <c r="D631" t="s" s="3">
        <v>321</v>
      </c>
      <c r="E631" s="6">
        <v>168960</v>
      </c>
      <c r="F631" s="6">
        <f>E631*0.19</f>
        <v>32102.4</v>
      </c>
      <c r="G631" s="6">
        <f>E631+F631</f>
        <v>201062.4</v>
      </c>
      <c r="H631" s="7">
        <f>IF(J631=TRUE(),E631,0)</f>
        <v>0</v>
      </c>
      <c r="I631" s="7">
        <f>IF(K631=TRUE(),E631,0)</f>
        <v>0</v>
      </c>
      <c r="J631" t="b" s="4">
        <v>0</v>
      </c>
      <c r="K631" t="b" s="4">
        <v>0</v>
      </c>
    </row>
    <row r="632" ht="17" customHeight="1">
      <c r="A632" s="4">
        <v>541</v>
      </c>
      <c r="B632" s="5">
        <v>41242</v>
      </c>
      <c r="C632" t="s" s="3">
        <v>307</v>
      </c>
      <c r="D632" t="s" s="3">
        <v>322</v>
      </c>
      <c r="E632" s="6">
        <v>862500</v>
      </c>
      <c r="F632" s="6">
        <f>E632*0.19</f>
        <v>163875</v>
      </c>
      <c r="G632" s="6">
        <f>E632+F632</f>
        <v>1026375</v>
      </c>
      <c r="H632" s="7">
        <f>IF(J632=TRUE(),E632,0)</f>
        <v>0</v>
      </c>
      <c r="I632" s="7">
        <f>IF(K632=TRUE(),E632,0)</f>
        <v>0</v>
      </c>
      <c r="J632" t="b" s="4">
        <v>0</v>
      </c>
      <c r="K632" t="b" s="4">
        <v>0</v>
      </c>
    </row>
    <row r="633" ht="17.5" customHeight="1">
      <c r="A633" s="9">
        <v>542</v>
      </c>
      <c r="B633" s="5">
        <v>41242</v>
      </c>
      <c r="C633" t="s" s="10">
        <v>307</v>
      </c>
      <c r="D633" t="s" s="10">
        <v>323</v>
      </c>
      <c r="E633" s="11">
        <v>3223927</v>
      </c>
      <c r="F633" s="11">
        <f>E633*0.19</f>
        <v>612546.13</v>
      </c>
      <c r="G633" s="11">
        <f>E633+F633</f>
        <v>3836473.13</v>
      </c>
      <c r="H633" s="12">
        <f>IF(J633=TRUE(),E633,0)</f>
        <v>0</v>
      </c>
      <c r="I633" s="12">
        <f>IF(K633=TRUE(),E633,0)</f>
        <v>0</v>
      </c>
      <c r="J633" t="b" s="9">
        <v>0</v>
      </c>
      <c r="K633" t="b" s="9">
        <v>0</v>
      </c>
    </row>
    <row r="634" ht="18" customHeight="1">
      <c r="A634" s="13">
        <f>COUNT(A611:A633)</f>
        <v>23</v>
      </c>
      <c r="B634" t="s" s="3">
        <v>324</v>
      </c>
      <c r="C634" t="s" s="14">
        <v>7</v>
      </c>
      <c r="D634" s="14"/>
      <c r="E634" s="15">
        <f>SUM(E611:E633)</f>
        <v>11737808</v>
      </c>
      <c r="F634" s="15">
        <f>SUM(F611:F633)</f>
        <v>2230183.52</v>
      </c>
      <c r="G634" s="16">
        <f>SUM(G611:G633)</f>
        <v>13967991.52</v>
      </c>
      <c r="H634" s="17">
        <f>SUM(H611:H633)</f>
        <v>3816321</v>
      </c>
      <c r="I634" s="17"/>
      <c r="J634" s="18">
        <f>COUNTIF(J611:J633,TRUE())</f>
        <v>16</v>
      </c>
      <c r="K634" s="19"/>
    </row>
    <row r="635" ht="17.5" customHeight="1">
      <c r="A635" s="20"/>
      <c r="B635" s="5"/>
      <c r="C635" s="20"/>
      <c r="D635" s="21"/>
      <c r="E635" s="20"/>
      <c r="F635" s="20"/>
      <c r="G635" s="20"/>
      <c r="H635" s="22"/>
      <c r="I635" s="22"/>
      <c r="J635" s="20"/>
      <c r="K635" s="20"/>
    </row>
    <row r="636" ht="17" customHeight="1">
      <c r="A636" t="s" s="3">
        <v>1</v>
      </c>
      <c r="B636" t="s" s="3">
        <v>2</v>
      </c>
      <c r="C636" t="s" s="3">
        <v>3</v>
      </c>
      <c r="D636" t="s" s="3">
        <v>4</v>
      </c>
      <c r="E636" t="s" s="3">
        <v>5</v>
      </c>
      <c r="F636" t="s" s="3">
        <v>6</v>
      </c>
      <c r="G636" t="s" s="3">
        <v>7</v>
      </c>
      <c r="H636" s="7"/>
      <c r="I636" s="7"/>
      <c r="J636" s="8"/>
      <c r="K636" s="8"/>
    </row>
    <row r="637" ht="17.5" customHeight="1">
      <c r="A637" s="9">
        <v>543</v>
      </c>
      <c r="B637" s="5">
        <v>41271</v>
      </c>
      <c r="C637" t="s" s="10">
        <v>307</v>
      </c>
      <c r="D637" t="s" s="10">
        <v>325</v>
      </c>
      <c r="E637" s="11">
        <v>2886000</v>
      </c>
      <c r="F637" s="11">
        <f>E637*0.19</f>
        <v>548340</v>
      </c>
      <c r="G637" s="11">
        <f>E637+F637</f>
        <v>3434340</v>
      </c>
      <c r="H637" s="12">
        <f>IF(J637=TRUE(),E637,0)</f>
        <v>0</v>
      </c>
      <c r="I637" s="12">
        <f>IF(K637=TRUE(),E637,0)</f>
        <v>0</v>
      </c>
      <c r="J637" t="b" s="9">
        <v>0</v>
      </c>
      <c r="K637" t="b" s="9">
        <v>0</v>
      </c>
    </row>
    <row r="638" ht="18" customHeight="1">
      <c r="A638" s="13">
        <f>COUNT(A637)</f>
        <v>1</v>
      </c>
      <c r="B638" t="s" s="3">
        <v>326</v>
      </c>
      <c r="C638" t="s" s="14">
        <v>7</v>
      </c>
      <c r="D638" s="14"/>
      <c r="E638" s="15">
        <f>SUM(E637)</f>
        <v>2886000</v>
      </c>
      <c r="F638" s="15">
        <f>SUM(F637)</f>
        <v>548340</v>
      </c>
      <c r="G638" s="16">
        <f>SUM(G637)</f>
        <v>3434340</v>
      </c>
      <c r="H638" s="17">
        <f>SUM(H637)</f>
        <v>0</v>
      </c>
      <c r="I638" s="17"/>
      <c r="J638" s="18">
        <f>COUNTIF(J637,TRUE())</f>
        <v>0</v>
      </c>
      <c r="K638" s="19"/>
    </row>
    <row r="639" ht="17.5" customHeight="1">
      <c r="A639" s="20"/>
      <c r="B639" s="5"/>
      <c r="C639" s="20"/>
      <c r="D639" s="21"/>
      <c r="E639" s="20"/>
      <c r="F639" s="20"/>
      <c r="G639" s="20"/>
      <c r="H639" s="22"/>
      <c r="I639" s="22"/>
      <c r="J639" s="20"/>
      <c r="K639" s="20"/>
    </row>
    <row r="640" ht="17" customHeight="1">
      <c r="A640" t="s" s="3">
        <v>1</v>
      </c>
      <c r="B640" t="s" s="3">
        <v>2</v>
      </c>
      <c r="C640" t="s" s="3">
        <v>3</v>
      </c>
      <c r="D640" t="s" s="3">
        <v>4</v>
      </c>
      <c r="E640" t="s" s="3">
        <v>5</v>
      </c>
      <c r="F640" t="s" s="3">
        <v>6</v>
      </c>
      <c r="G640" t="s" s="3">
        <v>7</v>
      </c>
      <c r="H640" s="7"/>
      <c r="I640" s="7"/>
      <c r="J640" s="8"/>
      <c r="K640" s="8"/>
    </row>
    <row r="641" ht="17" customHeight="1">
      <c r="A641" s="4">
        <v>544</v>
      </c>
      <c r="B641" s="5">
        <v>41275</v>
      </c>
      <c r="C641" t="s" s="3">
        <v>120</v>
      </c>
      <c r="D641" t="s" s="3">
        <v>23</v>
      </c>
      <c r="E641" s="6">
        <v>481056</v>
      </c>
      <c r="F641" s="6">
        <f>E641*0.19</f>
        <v>91400.64</v>
      </c>
      <c r="G641" s="6">
        <f>E641+F641</f>
        <v>572456.64</v>
      </c>
      <c r="H641" s="7">
        <f>IF(J641=TRUE(),E641,0)</f>
        <v>481056</v>
      </c>
      <c r="I641" s="7">
        <f>IF(K641=TRUE(),E641,0)</f>
        <v>0</v>
      </c>
      <c r="J641" t="b" s="4">
        <v>1</v>
      </c>
      <c r="K641" t="b" s="4">
        <v>0</v>
      </c>
    </row>
    <row r="642" ht="17" customHeight="1">
      <c r="A642" s="4">
        <v>545</v>
      </c>
      <c r="B642" s="5">
        <v>41275</v>
      </c>
      <c r="C642" t="s" s="3">
        <v>120</v>
      </c>
      <c r="D642" t="s" s="3">
        <v>32</v>
      </c>
      <c r="E642" s="6">
        <v>480035</v>
      </c>
      <c r="F642" s="6">
        <f>E642*0.19</f>
        <v>91206.649999999994</v>
      </c>
      <c r="G642" s="6">
        <f>E642+F642</f>
        <v>571241.65</v>
      </c>
      <c r="H642" s="7">
        <f>IF(J642=TRUE(),E642,0)</f>
        <v>480035</v>
      </c>
      <c r="I642" s="7">
        <f>IF(K642=TRUE(),E642,0)</f>
        <v>0</v>
      </c>
      <c r="J642" t="b" s="4">
        <v>1</v>
      </c>
      <c r="K642" t="b" s="4">
        <v>0</v>
      </c>
    </row>
    <row r="643" ht="17" customHeight="1">
      <c r="A643" s="4">
        <v>546</v>
      </c>
      <c r="B643" s="5">
        <v>41275</v>
      </c>
      <c r="C643" t="s" s="3">
        <v>127</v>
      </c>
      <c r="D643" t="s" s="3">
        <v>23</v>
      </c>
      <c r="E643" s="6">
        <v>585872</v>
      </c>
      <c r="F643" s="6">
        <f>E643*0.19</f>
        <v>111315.68</v>
      </c>
      <c r="G643" s="6">
        <f>E643+F643</f>
        <v>697187.6800000001</v>
      </c>
      <c r="H643" s="7">
        <f>IF(J643=TRUE(),E643,0)</f>
        <v>585872</v>
      </c>
      <c r="I643" s="7">
        <f>IF(K643=TRUE(),E643,0)</f>
        <v>0</v>
      </c>
      <c r="J643" t="b" s="4">
        <v>1</v>
      </c>
      <c r="K643" t="b" s="4">
        <v>0</v>
      </c>
    </row>
    <row r="644" ht="17" customHeight="1">
      <c r="A644" s="4">
        <v>547</v>
      </c>
      <c r="B644" s="5">
        <v>41275</v>
      </c>
      <c r="C644" t="s" s="3">
        <v>127</v>
      </c>
      <c r="D644" t="s" s="3">
        <v>32</v>
      </c>
      <c r="E644" s="6">
        <v>584629</v>
      </c>
      <c r="F644" s="6">
        <f>E644*0.19</f>
        <v>111079.51</v>
      </c>
      <c r="G644" s="6">
        <f>E644+F644</f>
        <v>695708.51</v>
      </c>
      <c r="H644" s="7">
        <f>IF(J644=TRUE(),E644,0)</f>
        <v>584629</v>
      </c>
      <c r="I644" s="7">
        <f>IF(K644=TRUE(),E644,0)</f>
        <v>0</v>
      </c>
      <c r="J644" t="b" s="4">
        <v>1</v>
      </c>
      <c r="K644" t="b" s="4">
        <v>0</v>
      </c>
    </row>
    <row r="645" ht="17" customHeight="1">
      <c r="A645" s="4">
        <v>548</v>
      </c>
      <c r="B645" s="5">
        <v>41299</v>
      </c>
      <c r="C645" t="s" s="3">
        <v>25</v>
      </c>
      <c r="D645" t="s" s="3">
        <v>327</v>
      </c>
      <c r="E645" s="6">
        <v>972700</v>
      </c>
      <c r="F645" s="6">
        <f>E645*0.19</f>
        <v>184813</v>
      </c>
      <c r="G645" s="6">
        <f>E645+F645</f>
        <v>1157513</v>
      </c>
      <c r="H645" s="7">
        <f>IF(J645=TRUE(),E645,0)</f>
        <v>0</v>
      </c>
      <c r="I645" s="7">
        <f>IF(K645=TRUE(),E645,0)</f>
        <v>0</v>
      </c>
      <c r="J645" t="b" s="4">
        <v>0</v>
      </c>
      <c r="K645" t="b" s="4">
        <v>0</v>
      </c>
    </row>
    <row r="646" ht="17" customHeight="1">
      <c r="A646" s="4">
        <v>549</v>
      </c>
      <c r="B646" s="5">
        <v>41299</v>
      </c>
      <c r="C646" t="s" s="3">
        <v>25</v>
      </c>
      <c r="D646" t="s" s="3">
        <v>328</v>
      </c>
      <c r="E646" s="6">
        <v>785000</v>
      </c>
      <c r="F646" s="6">
        <f>E646*0.19</f>
        <v>149150</v>
      </c>
      <c r="G646" s="6">
        <f>E646+F646</f>
        <v>934150</v>
      </c>
      <c r="H646" s="7">
        <f>IF(J646=TRUE(),E646,0)</f>
        <v>0</v>
      </c>
      <c r="I646" s="7">
        <f>IF(K646=TRUE(),E646,0)</f>
        <v>0</v>
      </c>
      <c r="J646" t="b" s="4">
        <v>0</v>
      </c>
      <c r="K646" t="b" s="4">
        <v>0</v>
      </c>
    </row>
    <row r="647" ht="17" customHeight="1">
      <c r="A647" s="4">
        <v>550</v>
      </c>
      <c r="B647" s="5">
        <v>41291</v>
      </c>
      <c r="C647" t="s" s="3">
        <v>29</v>
      </c>
      <c r="D647" t="s" s="3">
        <v>329</v>
      </c>
      <c r="E647" s="6">
        <v>1105000</v>
      </c>
      <c r="F647" s="6">
        <f>E647*0.19</f>
        <v>209950</v>
      </c>
      <c r="G647" s="6">
        <f>E647+F647</f>
        <v>1314950</v>
      </c>
      <c r="H647" s="7">
        <f>IF(J647=TRUE(),E647,0)</f>
        <v>0</v>
      </c>
      <c r="I647" s="7">
        <f>IF(K647=TRUE(),E647,0)</f>
        <v>0</v>
      </c>
      <c r="J647" t="b" s="4">
        <v>0</v>
      </c>
      <c r="K647" t="b" s="4">
        <v>0</v>
      </c>
    </row>
    <row r="648" ht="17" customHeight="1">
      <c r="A648" s="4">
        <v>551</v>
      </c>
      <c r="B648" s="5">
        <v>41291</v>
      </c>
      <c r="C648" t="s" s="3">
        <v>29</v>
      </c>
      <c r="D648" t="s" s="3">
        <v>330</v>
      </c>
      <c r="E648" s="6">
        <v>337500</v>
      </c>
      <c r="F648" s="6">
        <f>E648*0.19</f>
        <v>64125</v>
      </c>
      <c r="G648" s="6">
        <f>E648+F648</f>
        <v>401625</v>
      </c>
      <c r="H648" s="7">
        <f>IF(J648=TRUE(),E648,0)</f>
        <v>0</v>
      </c>
      <c r="I648" s="7">
        <f>IF(K648=TRUE(),E648,0)</f>
        <v>0</v>
      </c>
      <c r="J648" t="b" s="4">
        <v>0</v>
      </c>
      <c r="K648" t="b" s="4">
        <v>0</v>
      </c>
    </row>
    <row r="649" ht="17" customHeight="1">
      <c r="A649" s="4">
        <v>552</v>
      </c>
      <c r="B649" s="5">
        <v>41304</v>
      </c>
      <c r="C649" t="s" s="3">
        <v>307</v>
      </c>
      <c r="D649" t="s" s="3">
        <v>331</v>
      </c>
      <c r="E649" s="6">
        <v>1725000</v>
      </c>
      <c r="F649" s="6">
        <f>E649*0.19</f>
        <v>327750</v>
      </c>
      <c r="G649" s="6">
        <f>E649+F649</f>
        <v>2052750</v>
      </c>
      <c r="H649" s="7">
        <f>IF(J649=TRUE(),E649,0)</f>
        <v>0</v>
      </c>
      <c r="I649" s="7">
        <f>IF(K649=TRUE(),E649,0)</f>
        <v>0</v>
      </c>
      <c r="J649" t="b" s="4">
        <v>0</v>
      </c>
      <c r="K649" t="b" s="4">
        <v>0</v>
      </c>
    </row>
    <row r="650" ht="17" customHeight="1">
      <c r="A650" s="4">
        <v>553</v>
      </c>
      <c r="B650" s="5">
        <v>41275</v>
      </c>
      <c r="C650" t="s" s="3">
        <v>316</v>
      </c>
      <c r="D650" t="s" s="3">
        <v>23</v>
      </c>
      <c r="E650" s="6">
        <v>171642</v>
      </c>
      <c r="F650" s="6">
        <f>E650*0.19</f>
        <v>32611.98</v>
      </c>
      <c r="G650" s="6">
        <f>E650+F650</f>
        <v>204253.98</v>
      </c>
      <c r="H650" s="7">
        <f>IF(J650=TRUE(),E650,0)</f>
        <v>171642</v>
      </c>
      <c r="I650" s="7">
        <f>IF(K650=TRUE(),E650,0)</f>
        <v>0</v>
      </c>
      <c r="J650" t="b" s="4">
        <v>1</v>
      </c>
      <c r="K650" t="b" s="4">
        <v>0</v>
      </c>
    </row>
    <row r="651" ht="17" customHeight="1">
      <c r="A651" s="4">
        <v>554</v>
      </c>
      <c r="B651" s="5">
        <v>41275</v>
      </c>
      <c r="C651" t="s" s="3">
        <v>316</v>
      </c>
      <c r="D651" t="s" s="3">
        <v>32</v>
      </c>
      <c r="E651" s="6">
        <v>171278</v>
      </c>
      <c r="F651" s="6">
        <f>E651*0.19</f>
        <v>32542.82</v>
      </c>
      <c r="G651" s="6">
        <f>E651+F651</f>
        <v>203820.82</v>
      </c>
      <c r="H651" s="7">
        <f>IF(J651=TRUE(),E651,0)</f>
        <v>171278</v>
      </c>
      <c r="I651" s="7">
        <f>IF(K651=TRUE(),E651,0)</f>
        <v>0</v>
      </c>
      <c r="J651" t="b" s="4">
        <v>1</v>
      </c>
      <c r="K651" t="b" s="4">
        <v>0</v>
      </c>
    </row>
    <row r="652" ht="17" customHeight="1">
      <c r="A652" s="4">
        <v>555</v>
      </c>
      <c r="B652" s="5">
        <v>41275</v>
      </c>
      <c r="C652" t="s" s="3">
        <v>316</v>
      </c>
      <c r="D652" t="s" s="3">
        <v>332</v>
      </c>
      <c r="E652" s="6">
        <v>157500</v>
      </c>
      <c r="F652" s="6">
        <f>E652*0.19</f>
        <v>29925</v>
      </c>
      <c r="G652" s="6">
        <f>E652+F652</f>
        <v>187425</v>
      </c>
      <c r="H652" s="7">
        <f>IF(J652=TRUE(),E652,0)</f>
        <v>0</v>
      </c>
      <c r="I652" s="7">
        <f>IF(K652=TRUE(),E652,0)</f>
        <v>0</v>
      </c>
      <c r="J652" t="b" s="4">
        <v>0</v>
      </c>
      <c r="K652" t="b" s="4">
        <v>0</v>
      </c>
    </row>
    <row r="653" ht="17" customHeight="1">
      <c r="A653" s="4">
        <v>556</v>
      </c>
      <c r="B653" s="5">
        <v>41275</v>
      </c>
      <c r="C653" t="s" s="3">
        <v>66</v>
      </c>
      <c r="D653" t="s" s="3">
        <v>23</v>
      </c>
      <c r="E653" s="6">
        <v>139602</v>
      </c>
      <c r="F653" s="6">
        <f>E653*0.19</f>
        <v>26524.38</v>
      </c>
      <c r="G653" s="6">
        <f>E653+F653</f>
        <v>166126.38</v>
      </c>
      <c r="H653" s="7">
        <f>IF(J653=TRUE(),E653,0)</f>
        <v>139602</v>
      </c>
      <c r="I653" s="7">
        <f>IF(K653=TRUE(),E653,0)</f>
        <v>0</v>
      </c>
      <c r="J653" t="b" s="4">
        <v>1</v>
      </c>
      <c r="K653" t="b" s="4">
        <v>0</v>
      </c>
    </row>
    <row r="654" ht="17" customHeight="1">
      <c r="A654" s="4">
        <v>557</v>
      </c>
      <c r="B654" s="5">
        <v>41275</v>
      </c>
      <c r="C654" t="s" s="3">
        <v>66</v>
      </c>
      <c r="D654" t="s" s="3">
        <v>32</v>
      </c>
      <c r="E654" s="6">
        <v>139306</v>
      </c>
      <c r="F654" s="6">
        <f>E654*0.19</f>
        <v>26468.14</v>
      </c>
      <c r="G654" s="6">
        <f>E654+F654</f>
        <v>165774.14</v>
      </c>
      <c r="H654" s="7">
        <f>IF(J654=TRUE(),E654,0)</f>
        <v>139306</v>
      </c>
      <c r="I654" s="7">
        <f>IF(K654=TRUE(),E654,0)</f>
        <v>0</v>
      </c>
      <c r="J654" t="b" s="4">
        <v>1</v>
      </c>
      <c r="K654" t="b" s="4">
        <v>0</v>
      </c>
    </row>
    <row r="655" ht="17" customHeight="1">
      <c r="A655" s="4">
        <v>558</v>
      </c>
      <c r="B655" s="5">
        <v>41304</v>
      </c>
      <c r="C655" t="s" s="3">
        <v>29</v>
      </c>
      <c r="D655" t="s" s="3">
        <v>333</v>
      </c>
      <c r="E655" s="6">
        <v>407500</v>
      </c>
      <c r="F655" s="6">
        <f>E655*0.19</f>
        <v>77425</v>
      </c>
      <c r="G655" s="6">
        <f>E655+F655</f>
        <v>484925</v>
      </c>
      <c r="H655" s="7">
        <f>IF(J655=TRUE(),E655,0)</f>
        <v>0</v>
      </c>
      <c r="I655" s="7">
        <f>IF(K655=TRUE(),E655,0)</f>
        <v>0</v>
      </c>
      <c r="J655" t="b" s="4">
        <v>0</v>
      </c>
      <c r="K655" t="b" s="4">
        <v>0</v>
      </c>
    </row>
    <row r="656" ht="17" customHeight="1">
      <c r="A656" s="4">
        <v>559</v>
      </c>
      <c r="B656" s="5">
        <v>41275</v>
      </c>
      <c r="C656" t="s" s="3">
        <v>42</v>
      </c>
      <c r="D656" t="s" s="3">
        <v>23</v>
      </c>
      <c r="E656" s="6">
        <v>280349</v>
      </c>
      <c r="F656" s="6">
        <f>E656*0.19</f>
        <v>53266.31</v>
      </c>
      <c r="G656" s="6">
        <f>E656+F656</f>
        <v>333615.31</v>
      </c>
      <c r="H656" s="7">
        <f>IF(J656=TRUE(),E656,0)</f>
        <v>280349</v>
      </c>
      <c r="I656" s="7">
        <f>IF(K656=TRUE(),E656,0)</f>
        <v>0</v>
      </c>
      <c r="J656" t="b" s="4">
        <v>1</v>
      </c>
      <c r="K656" t="b" s="4">
        <v>0</v>
      </c>
    </row>
    <row r="657" ht="17" customHeight="1">
      <c r="A657" t="s" s="3">
        <v>334</v>
      </c>
      <c r="B657" s="5">
        <v>41304</v>
      </c>
      <c r="C657" t="s" s="3">
        <v>42</v>
      </c>
      <c r="D657" t="s" s="3">
        <v>23</v>
      </c>
      <c r="E657" s="6">
        <v>-280349</v>
      </c>
      <c r="F657" s="6">
        <f>E657*0.19</f>
        <v>-53266.31</v>
      </c>
      <c r="G657" s="6">
        <f>E657+F657</f>
        <v>-333615.31</v>
      </c>
      <c r="H657" s="7">
        <f>IF(J657=TRUE(),E657,0)</f>
        <v>-280349</v>
      </c>
      <c r="I657" s="7">
        <f>IF(K657=TRUE(),E657,0)</f>
        <v>0</v>
      </c>
      <c r="J657" t="b" s="4">
        <v>1</v>
      </c>
      <c r="K657" t="b" s="4">
        <v>0</v>
      </c>
    </row>
    <row r="658" ht="17" customHeight="1">
      <c r="A658" s="4">
        <v>560</v>
      </c>
      <c r="B658" s="5">
        <v>41275</v>
      </c>
      <c r="C658" t="s" s="3">
        <v>34</v>
      </c>
      <c r="D658" t="s" s="3">
        <v>23</v>
      </c>
      <c r="E658" s="6">
        <v>53552</v>
      </c>
      <c r="F658" s="6">
        <f>E658*0.19</f>
        <v>10174.88</v>
      </c>
      <c r="G658" s="6">
        <f>E658+F658</f>
        <v>63726.88</v>
      </c>
      <c r="H658" s="7">
        <f>IF(J658=TRUE(),E658,0)</f>
        <v>53552</v>
      </c>
      <c r="I658" s="7">
        <f>IF(K658=TRUE(),E658,0)</f>
        <v>0</v>
      </c>
      <c r="J658" t="b" s="4">
        <v>1</v>
      </c>
      <c r="K658" t="b" s="4">
        <v>0</v>
      </c>
    </row>
    <row r="659" ht="17" customHeight="1">
      <c r="A659" s="4">
        <v>561</v>
      </c>
      <c r="B659" s="5">
        <v>41275</v>
      </c>
      <c r="C659" t="s" s="3">
        <v>60</v>
      </c>
      <c r="D659" t="s" s="3">
        <v>23</v>
      </c>
      <c r="E659" s="6">
        <v>60876</v>
      </c>
      <c r="F659" s="6">
        <f>E659*0.19</f>
        <v>11566.44</v>
      </c>
      <c r="G659" s="6">
        <f>E659+F659</f>
        <v>72442.44</v>
      </c>
      <c r="H659" s="7">
        <f>IF(J659=TRUE(),E659,0)</f>
        <v>60876</v>
      </c>
      <c r="I659" s="7">
        <f>IF(K659=TRUE(),E659,0)</f>
        <v>0</v>
      </c>
      <c r="J659" t="b" s="4">
        <v>1</v>
      </c>
      <c r="K659" t="b" s="4">
        <v>0</v>
      </c>
    </row>
    <row r="660" ht="17" customHeight="1">
      <c r="A660" s="4">
        <v>562</v>
      </c>
      <c r="B660" s="5">
        <v>41275</v>
      </c>
      <c r="C660" t="s" s="3">
        <v>42</v>
      </c>
      <c r="D660" t="s" s="3">
        <v>32</v>
      </c>
      <c r="E660" s="6">
        <v>279754</v>
      </c>
      <c r="F660" s="6">
        <f>E660*0.19</f>
        <v>53153.26</v>
      </c>
      <c r="G660" s="6">
        <f>E660+F660</f>
        <v>332907.26</v>
      </c>
      <c r="H660" s="7">
        <f>IF(J660=TRUE(),E660,0)</f>
        <v>279754</v>
      </c>
      <c r="I660" s="7">
        <f>IF(K660=TRUE(),E660,0)</f>
        <v>0</v>
      </c>
      <c r="J660" t="b" s="4">
        <v>1</v>
      </c>
      <c r="K660" t="b" s="4">
        <v>0</v>
      </c>
    </row>
    <row r="661" ht="17" customHeight="1">
      <c r="A661" t="s" s="3">
        <v>335</v>
      </c>
      <c r="B661" s="5">
        <v>41304</v>
      </c>
      <c r="C661" t="s" s="3">
        <v>42</v>
      </c>
      <c r="D661" t="s" s="3">
        <v>32</v>
      </c>
      <c r="E661" s="6">
        <v>-279754</v>
      </c>
      <c r="F661" s="6">
        <f>E661*0.19</f>
        <v>-53153.26</v>
      </c>
      <c r="G661" s="6">
        <f>E661+F661</f>
        <v>-332907.26</v>
      </c>
      <c r="H661" s="7">
        <f>IF(J661=TRUE(),E661,0)</f>
        <v>-279754</v>
      </c>
      <c r="I661" s="7">
        <f>IF(K661=TRUE(),E661,0)</f>
        <v>0</v>
      </c>
      <c r="J661" t="b" s="4">
        <v>1</v>
      </c>
      <c r="K661" t="b" s="4">
        <v>0</v>
      </c>
    </row>
    <row r="662" ht="17" customHeight="1">
      <c r="A662" s="4">
        <v>563</v>
      </c>
      <c r="B662" s="5">
        <v>41275</v>
      </c>
      <c r="C662" t="s" s="3">
        <v>34</v>
      </c>
      <c r="D662" t="s" s="3">
        <v>32</v>
      </c>
      <c r="E662" s="6">
        <v>53439</v>
      </c>
      <c r="F662" s="6">
        <f>E662*0.19</f>
        <v>10153.41</v>
      </c>
      <c r="G662" s="6">
        <f>E662+F662</f>
        <v>63592.41</v>
      </c>
      <c r="H662" s="7">
        <f>IF(J662=TRUE(),E662,0)</f>
        <v>53439</v>
      </c>
      <c r="I662" s="7">
        <f>IF(K662=TRUE(),E662,0)</f>
        <v>0</v>
      </c>
      <c r="J662" t="b" s="4">
        <v>1</v>
      </c>
      <c r="K662" t="b" s="4">
        <v>0</v>
      </c>
    </row>
    <row r="663" ht="17" customHeight="1">
      <c r="A663" s="4">
        <v>564</v>
      </c>
      <c r="B663" s="5">
        <v>41275</v>
      </c>
      <c r="C663" t="s" s="3">
        <v>60</v>
      </c>
      <c r="D663" t="s" s="3">
        <v>32</v>
      </c>
      <c r="E663" s="6">
        <v>60747</v>
      </c>
      <c r="F663" s="6">
        <f>E663*0.19</f>
        <v>11541.93</v>
      </c>
      <c r="G663" s="6">
        <f>E663+F663</f>
        <v>72288.929999999993</v>
      </c>
      <c r="H663" s="7">
        <f>IF(J663=TRUE(),E663,0)</f>
        <v>60747</v>
      </c>
      <c r="I663" s="7">
        <f>IF(K663=TRUE(),E663,0)</f>
        <v>0</v>
      </c>
      <c r="J663" t="b" s="4">
        <v>1</v>
      </c>
      <c r="K663" t="b" s="4">
        <v>0</v>
      </c>
    </row>
    <row r="664" ht="17" customHeight="1">
      <c r="A664" s="4">
        <v>565</v>
      </c>
      <c r="B664" s="5">
        <v>41275</v>
      </c>
      <c r="C664" t="s" s="3">
        <v>56</v>
      </c>
      <c r="D664" t="s" s="3">
        <v>23</v>
      </c>
      <c r="E664" s="6">
        <v>125000</v>
      </c>
      <c r="F664" s="6">
        <f>E664*0.19</f>
        <v>23750</v>
      </c>
      <c r="G664" s="6">
        <f>E664+F664</f>
        <v>148750</v>
      </c>
      <c r="H664" s="7">
        <f>IF(J664=TRUE(),E664,0)</f>
        <v>125000</v>
      </c>
      <c r="I664" s="7">
        <f>IF(K664=TRUE(),E664,0)</f>
        <v>0</v>
      </c>
      <c r="J664" t="b" s="4">
        <v>1</v>
      </c>
      <c r="K664" t="b" s="4">
        <v>0</v>
      </c>
    </row>
    <row r="665" ht="17" customHeight="1">
      <c r="A665" s="4">
        <v>566</v>
      </c>
      <c r="B665" s="5">
        <v>41275</v>
      </c>
      <c r="C665" t="s" s="3">
        <v>56</v>
      </c>
      <c r="D665" t="s" s="3">
        <v>32</v>
      </c>
      <c r="E665" s="6">
        <v>125000</v>
      </c>
      <c r="F665" s="6">
        <f>E665*0.19</f>
        <v>23750</v>
      </c>
      <c r="G665" s="6">
        <f>E665+F665</f>
        <v>148750</v>
      </c>
      <c r="H665" s="7">
        <f>IF(J665=TRUE(),E665,0)</f>
        <v>125000</v>
      </c>
      <c r="I665" s="7">
        <f>IF(K665=TRUE(),E665,0)</f>
        <v>0</v>
      </c>
      <c r="J665" t="b" s="4">
        <v>1</v>
      </c>
      <c r="K665" t="b" s="4">
        <v>0</v>
      </c>
    </row>
    <row r="666" ht="17" customHeight="1">
      <c r="A666" s="4">
        <v>567</v>
      </c>
      <c r="B666" s="5">
        <v>41275</v>
      </c>
      <c r="C666" t="s" s="3">
        <v>230</v>
      </c>
      <c r="D666" t="s" s="3">
        <v>23</v>
      </c>
      <c r="E666" s="6">
        <v>22886</v>
      </c>
      <c r="F666" s="6">
        <f>E666*0.19</f>
        <v>4348.34</v>
      </c>
      <c r="G666" s="6">
        <f>E666+F666</f>
        <v>27234.34</v>
      </c>
      <c r="H666" s="7">
        <f>IF(J666=TRUE(),E666,0)</f>
        <v>22886</v>
      </c>
      <c r="I666" s="7">
        <f>IF(K666=TRUE(),E666,0)</f>
        <v>0</v>
      </c>
      <c r="J666" t="b" s="4">
        <v>1</v>
      </c>
      <c r="K666" t="b" s="4">
        <v>0</v>
      </c>
    </row>
    <row r="667" ht="17" customHeight="1">
      <c r="A667" s="4">
        <v>568</v>
      </c>
      <c r="B667" s="5">
        <v>41275</v>
      </c>
      <c r="C667" t="s" s="3">
        <v>230</v>
      </c>
      <c r="D667" t="s" s="3">
        <v>32</v>
      </c>
      <c r="E667" s="6">
        <v>22837</v>
      </c>
      <c r="F667" s="6">
        <f>E667*0.19</f>
        <v>4339.03</v>
      </c>
      <c r="G667" s="6">
        <f>E667+F667</f>
        <v>27176.03</v>
      </c>
      <c r="H667" s="7">
        <f>IF(J667=TRUE(),E667,0)</f>
        <v>22837</v>
      </c>
      <c r="I667" s="7">
        <f>IF(K667=TRUE(),E667,0)</f>
        <v>0</v>
      </c>
      <c r="J667" t="b" s="4">
        <v>1</v>
      </c>
      <c r="K667" t="b" s="4">
        <v>0</v>
      </c>
    </row>
    <row r="668" ht="17" customHeight="1">
      <c r="A668" s="4">
        <v>569</v>
      </c>
      <c r="B668" s="5">
        <v>41275</v>
      </c>
      <c r="C668" t="s" s="3">
        <v>241</v>
      </c>
      <c r="D668" t="s" s="3">
        <v>23</v>
      </c>
      <c r="E668" s="6">
        <v>110538</v>
      </c>
      <c r="F668" s="6">
        <f>E668*0.19</f>
        <v>21002.22</v>
      </c>
      <c r="G668" s="6">
        <f>E668+F668</f>
        <v>131540.22</v>
      </c>
      <c r="H668" s="7">
        <f>IF(J668=TRUE(),E668,0)</f>
        <v>110538</v>
      </c>
      <c r="I668" s="7">
        <f>IF(K668=TRUE(),E668,0)</f>
        <v>0</v>
      </c>
      <c r="J668" t="b" s="4">
        <v>1</v>
      </c>
      <c r="K668" t="b" s="4">
        <v>0</v>
      </c>
    </row>
    <row r="669" ht="17" customHeight="1">
      <c r="A669" s="4">
        <v>570</v>
      </c>
      <c r="B669" s="5">
        <v>41275</v>
      </c>
      <c r="C669" t="s" s="3">
        <v>241</v>
      </c>
      <c r="D669" t="s" s="3">
        <v>32</v>
      </c>
      <c r="E669" s="6">
        <v>110303</v>
      </c>
      <c r="F669" s="6">
        <f>E669*0.19</f>
        <v>20957.57</v>
      </c>
      <c r="G669" s="6">
        <f>E669+F669</f>
        <v>131260.57</v>
      </c>
      <c r="H669" s="7">
        <f>IF(J669=TRUE(),E669,0)</f>
        <v>110303</v>
      </c>
      <c r="I669" s="7">
        <f>IF(K669=TRUE(),E669,0)</f>
        <v>0</v>
      </c>
      <c r="J669" t="b" s="4">
        <v>1</v>
      </c>
      <c r="K669" t="b" s="4">
        <v>0</v>
      </c>
    </row>
    <row r="670" ht="17" customHeight="1">
      <c r="A670" s="4">
        <v>571</v>
      </c>
      <c r="B670" s="5">
        <v>41275</v>
      </c>
      <c r="C670" t="s" s="3">
        <v>268</v>
      </c>
      <c r="D670" t="s" s="3">
        <v>23</v>
      </c>
      <c r="E670" s="6">
        <v>51493</v>
      </c>
      <c r="F670" s="6">
        <f>E670*0.19</f>
        <v>9783.67</v>
      </c>
      <c r="G670" s="6">
        <f>E670+F670</f>
        <v>61276.67</v>
      </c>
      <c r="H670" s="7">
        <f>IF(J670=TRUE(),E670,0)</f>
        <v>51493</v>
      </c>
      <c r="I670" s="7">
        <f>IF(K670=TRUE(),E670,0)</f>
        <v>0</v>
      </c>
      <c r="J670" t="b" s="4">
        <v>1</v>
      </c>
      <c r="K670" t="b" s="4">
        <v>0</v>
      </c>
    </row>
    <row r="671" ht="17" customHeight="1">
      <c r="A671" s="4">
        <v>572</v>
      </c>
      <c r="B671" s="5">
        <v>41275</v>
      </c>
      <c r="C671" t="s" s="3">
        <v>268</v>
      </c>
      <c r="D671" t="s" s="3">
        <v>32</v>
      </c>
      <c r="E671" s="6">
        <v>51383</v>
      </c>
      <c r="F671" s="6">
        <f>E671*0.19</f>
        <v>9762.77</v>
      </c>
      <c r="G671" s="6">
        <f>E671+F671</f>
        <v>61145.77</v>
      </c>
      <c r="H671" s="7">
        <f>IF(J671=TRUE(),E671,0)</f>
        <v>51383</v>
      </c>
      <c r="I671" s="7">
        <f>IF(K671=TRUE(),E671,0)</f>
        <v>0</v>
      </c>
      <c r="J671" t="b" s="4">
        <v>1</v>
      </c>
      <c r="K671" t="b" s="4">
        <v>0</v>
      </c>
    </row>
    <row r="672" ht="17" customHeight="1">
      <c r="A672" s="4">
        <v>573</v>
      </c>
      <c r="B672" s="5">
        <v>41275</v>
      </c>
      <c r="C672" t="s" s="3">
        <v>40</v>
      </c>
      <c r="D672" t="s" s="3">
        <v>23</v>
      </c>
      <c r="E672" s="6">
        <v>158000</v>
      </c>
      <c r="F672" s="6">
        <f>E672*0.19</f>
        <v>30020</v>
      </c>
      <c r="G672" s="6">
        <f>E672+F672</f>
        <v>188020</v>
      </c>
      <c r="H672" s="7">
        <f>IF(J672=TRUE(),E672,0)</f>
        <v>158000</v>
      </c>
      <c r="I672" s="7">
        <f>IF(K672=TRUE(),E672,0)</f>
        <v>0</v>
      </c>
      <c r="J672" t="b" s="4">
        <v>1</v>
      </c>
      <c r="K672" t="b" s="4">
        <v>0</v>
      </c>
    </row>
    <row r="673" ht="17" customHeight="1">
      <c r="A673" s="4">
        <v>574</v>
      </c>
      <c r="B673" s="5">
        <v>41275</v>
      </c>
      <c r="C673" t="s" s="3">
        <v>40</v>
      </c>
      <c r="D673" t="s" s="3">
        <v>32</v>
      </c>
      <c r="E673" s="6">
        <v>158000</v>
      </c>
      <c r="F673" s="6">
        <f>E673*0.19</f>
        <v>30020</v>
      </c>
      <c r="G673" s="6">
        <f>E673+F673</f>
        <v>188020</v>
      </c>
      <c r="H673" s="7">
        <f>IF(J673=TRUE(),E673,0)</f>
        <v>158000</v>
      </c>
      <c r="I673" s="7">
        <f>IF(K673=TRUE(),E673,0)</f>
        <v>0</v>
      </c>
      <c r="J673" t="b" s="4">
        <v>1</v>
      </c>
      <c r="K673" t="b" s="4">
        <v>0</v>
      </c>
    </row>
    <row r="674" ht="17" customHeight="1">
      <c r="A674" s="4">
        <v>575</v>
      </c>
      <c r="B674" s="5">
        <v>41275</v>
      </c>
      <c r="C674" t="s" s="3">
        <v>22</v>
      </c>
      <c r="D674" t="s" s="3">
        <v>23</v>
      </c>
      <c r="E674" s="6">
        <v>159284</v>
      </c>
      <c r="F674" s="6">
        <f>E674*0.19</f>
        <v>30263.96</v>
      </c>
      <c r="G674" s="6">
        <f>E674+F674</f>
        <v>189547.96</v>
      </c>
      <c r="H674" s="7">
        <f>IF(J674=TRUE(),E674,0)</f>
        <v>159284</v>
      </c>
      <c r="I674" s="7">
        <f>IF(K674=TRUE(),E674,0)</f>
        <v>0</v>
      </c>
      <c r="J674" t="b" s="4">
        <v>1</v>
      </c>
      <c r="K674" t="b" s="4">
        <v>0</v>
      </c>
    </row>
    <row r="675" ht="17" customHeight="1">
      <c r="A675" s="4">
        <v>576</v>
      </c>
      <c r="B675" s="5">
        <v>41275</v>
      </c>
      <c r="C675" t="s" s="3">
        <v>22</v>
      </c>
      <c r="D675" t="s" s="3">
        <v>32</v>
      </c>
      <c r="E675" s="6">
        <v>158946</v>
      </c>
      <c r="F675" s="6">
        <f>E675*0.19</f>
        <v>30199.74</v>
      </c>
      <c r="G675" s="6">
        <f>E675+F675</f>
        <v>189145.74</v>
      </c>
      <c r="H675" s="7">
        <f>IF(J675=TRUE(),E675,0)</f>
        <v>158946</v>
      </c>
      <c r="I675" s="7">
        <f>IF(K675=TRUE(),E675,0)</f>
        <v>0</v>
      </c>
      <c r="J675" t="b" s="4">
        <v>1</v>
      </c>
      <c r="K675" t="b" s="4">
        <v>0</v>
      </c>
    </row>
    <row r="676" ht="17" customHeight="1">
      <c r="A676" s="4">
        <v>577</v>
      </c>
      <c r="B676" s="5">
        <v>41275</v>
      </c>
      <c r="C676" t="s" s="3">
        <v>42</v>
      </c>
      <c r="D676" t="s" s="3">
        <v>23</v>
      </c>
      <c r="E676" s="6">
        <v>231374</v>
      </c>
      <c r="F676" s="6">
        <f>E676*0.19</f>
        <v>43961.06</v>
      </c>
      <c r="G676" s="6">
        <f>E676+F676</f>
        <v>275335.06</v>
      </c>
      <c r="H676" s="7">
        <f>IF(J676=TRUE(),E676,0)</f>
        <v>231374</v>
      </c>
      <c r="I676" s="7">
        <f>IF(K676=TRUE(),E676,0)</f>
        <v>0</v>
      </c>
      <c r="J676" t="b" s="4">
        <v>1</v>
      </c>
      <c r="K676" t="b" s="4">
        <v>0</v>
      </c>
    </row>
    <row r="677" ht="17" customHeight="1">
      <c r="A677" s="4">
        <v>578</v>
      </c>
      <c r="B677" s="5">
        <v>41275</v>
      </c>
      <c r="C677" t="s" s="3">
        <v>42</v>
      </c>
      <c r="D677" t="s" s="3">
        <v>32</v>
      </c>
      <c r="E677" s="6">
        <v>230883</v>
      </c>
      <c r="F677" s="6">
        <f>E677*0.19</f>
        <v>43867.77</v>
      </c>
      <c r="G677" s="6">
        <f>E677+F677</f>
        <v>274750.77</v>
      </c>
      <c r="H677" s="7">
        <f>IF(J677=TRUE(),E677,0)</f>
        <v>230883</v>
      </c>
      <c r="I677" s="7">
        <f>IF(K677=TRUE(),E677,0)</f>
        <v>0</v>
      </c>
      <c r="J677" t="b" s="4">
        <v>1</v>
      </c>
      <c r="K677" t="b" s="4">
        <v>0</v>
      </c>
    </row>
    <row r="678" ht="17" customHeight="1">
      <c r="A678" s="4">
        <v>579</v>
      </c>
      <c r="B678" s="5">
        <v>41288</v>
      </c>
      <c r="C678" t="s" s="3">
        <v>29</v>
      </c>
      <c r="D678" t="s" s="3">
        <v>336</v>
      </c>
      <c r="E678" s="6">
        <v>95792</v>
      </c>
      <c r="F678" s="6">
        <f>E678*0.19</f>
        <v>18200.48</v>
      </c>
      <c r="G678" s="6">
        <f>E678+F678</f>
        <v>113992.48</v>
      </c>
      <c r="H678" s="7">
        <f>IF(J678=TRUE(),E678,0)</f>
        <v>0</v>
      </c>
      <c r="I678" s="7">
        <f>IF(K678=TRUE(),E678,0)</f>
        <v>0</v>
      </c>
      <c r="J678" t="b" s="4">
        <v>0</v>
      </c>
      <c r="K678" t="b" s="4">
        <v>0</v>
      </c>
    </row>
    <row r="679" ht="17" customHeight="1">
      <c r="A679" s="4">
        <v>580</v>
      </c>
      <c r="B679" s="5">
        <v>41288</v>
      </c>
      <c r="C679" t="s" s="3">
        <v>29</v>
      </c>
      <c r="D679" t="s" s="3">
        <v>337</v>
      </c>
      <c r="E679" s="6">
        <v>139126</v>
      </c>
      <c r="F679" s="6">
        <f>E679*0.19</f>
        <v>26433.94</v>
      </c>
      <c r="G679" s="6">
        <f>E679+F679</f>
        <v>165559.94</v>
      </c>
      <c r="H679" s="7">
        <f>IF(J679=TRUE(),E679,0)</f>
        <v>0</v>
      </c>
      <c r="I679" s="7">
        <f>IF(K679=TRUE(),E679,0)</f>
        <v>0</v>
      </c>
      <c r="J679" t="b" s="4">
        <v>0</v>
      </c>
      <c r="K679" t="b" s="4">
        <v>0</v>
      </c>
    </row>
    <row r="680" ht="17" customHeight="1">
      <c r="A680" s="4">
        <v>581</v>
      </c>
      <c r="B680" s="5">
        <v>41275</v>
      </c>
      <c r="C680" t="s" s="3">
        <v>36</v>
      </c>
      <c r="D680" t="s" s="3">
        <v>338</v>
      </c>
      <c r="E680" s="6">
        <v>155292</v>
      </c>
      <c r="F680" s="6">
        <f>E680*0.19</f>
        <v>29505.48</v>
      </c>
      <c r="G680" s="6">
        <f>E680+F680</f>
        <v>184797.48</v>
      </c>
      <c r="H680" s="7">
        <f>IF(J680=TRUE(),E680,0)</f>
        <v>0</v>
      </c>
      <c r="I680" s="7">
        <f>IF(K680=TRUE(),E680,0)</f>
        <v>0</v>
      </c>
      <c r="J680" t="b" s="4">
        <v>0</v>
      </c>
      <c r="K680" t="b" s="4">
        <v>0</v>
      </c>
    </row>
    <row r="681" ht="17" customHeight="1">
      <c r="A681" s="4">
        <v>582</v>
      </c>
      <c r="B681" s="5">
        <v>41275</v>
      </c>
      <c r="C681" t="s" s="3">
        <v>253</v>
      </c>
      <c r="D681" t="s" s="3">
        <v>339</v>
      </c>
      <c r="E681" s="6">
        <v>337300</v>
      </c>
      <c r="F681" s="6">
        <f>E681*0.19</f>
        <v>64087</v>
      </c>
      <c r="G681" s="6">
        <f>E681+F681</f>
        <v>401387</v>
      </c>
      <c r="H681" s="7">
        <f>IF(J681=TRUE(),E681,0)</f>
        <v>0</v>
      </c>
      <c r="I681" s="7">
        <f>IF(K681=TRUE(),E681,0)</f>
        <v>0</v>
      </c>
      <c r="J681" t="b" s="4">
        <v>0</v>
      </c>
      <c r="K681" t="b" s="4">
        <v>0</v>
      </c>
    </row>
    <row r="682" ht="17" customHeight="1">
      <c r="A682" s="4">
        <v>583</v>
      </c>
      <c r="B682" s="5">
        <v>41275</v>
      </c>
      <c r="C682" t="s" s="3">
        <v>25</v>
      </c>
      <c r="D682" t="s" s="3">
        <v>340</v>
      </c>
      <c r="E682" s="6">
        <v>260000</v>
      </c>
      <c r="F682" s="6">
        <f>E682*0.19</f>
        <v>49400</v>
      </c>
      <c r="G682" s="6">
        <f>E682+F682</f>
        <v>309400</v>
      </c>
      <c r="H682" s="7">
        <f>IF(J682=TRUE(),E682,0)</f>
        <v>0</v>
      </c>
      <c r="I682" s="7">
        <f>IF(K682=TRUE(),E682,0)</f>
        <v>0</v>
      </c>
      <c r="J682" t="b" s="4">
        <v>0</v>
      </c>
      <c r="K682" t="b" s="4">
        <v>0</v>
      </c>
    </row>
    <row r="683" ht="17" customHeight="1">
      <c r="A683" s="4">
        <v>584</v>
      </c>
      <c r="B683" s="5">
        <v>41305</v>
      </c>
      <c r="C683" t="s" s="3">
        <v>98</v>
      </c>
      <c r="D683" t="s" s="3">
        <v>280</v>
      </c>
      <c r="E683" s="6">
        <v>520000</v>
      </c>
      <c r="F683" s="6">
        <f>E683*0.19</f>
        <v>98800</v>
      </c>
      <c r="G683" s="6">
        <f>E683+F683</f>
        <v>618800</v>
      </c>
      <c r="H683" s="7">
        <f>IF(J683=TRUE(),E683,0)</f>
        <v>0</v>
      </c>
      <c r="I683" s="7">
        <f>IF(K683=TRUE(),E683,0)</f>
        <v>0</v>
      </c>
      <c r="J683" t="b" s="4">
        <v>0</v>
      </c>
      <c r="K683" t="b" s="4">
        <v>0</v>
      </c>
    </row>
    <row r="684" ht="17" customHeight="1">
      <c r="A684" t="s" s="3">
        <v>281</v>
      </c>
      <c r="B684" s="5">
        <v>41305</v>
      </c>
      <c r="C684" t="s" s="3">
        <v>98</v>
      </c>
      <c r="D684" t="s" s="3">
        <v>280</v>
      </c>
      <c r="E684" s="6">
        <v>-520000</v>
      </c>
      <c r="F684" s="6">
        <f>E684*0.19</f>
        <v>-98800</v>
      </c>
      <c r="G684" s="6">
        <f>E684+F684</f>
        <v>-618800</v>
      </c>
      <c r="H684" s="7">
        <f>IF(J684=TRUE(),E684,0)</f>
        <v>0</v>
      </c>
      <c r="I684" s="7">
        <f>IF(K684=TRUE(),E684,0)</f>
        <v>0</v>
      </c>
      <c r="J684" t="b" s="4">
        <v>0</v>
      </c>
      <c r="K684" t="b" s="4">
        <v>0</v>
      </c>
    </row>
    <row r="685" ht="17" customHeight="1">
      <c r="A685" s="4">
        <v>585</v>
      </c>
      <c r="B685" s="5">
        <v>41275</v>
      </c>
      <c r="C685" t="s" s="3">
        <v>216</v>
      </c>
      <c r="D685" t="s" s="3">
        <v>341</v>
      </c>
      <c r="E685" s="6">
        <v>463500</v>
      </c>
      <c r="F685" s="6">
        <f>E685*0.19</f>
        <v>88065</v>
      </c>
      <c r="G685" s="6">
        <f>E685+F685</f>
        <v>551565</v>
      </c>
      <c r="H685" s="7">
        <f>IF(J685=TRUE(),E685,0)</f>
        <v>0</v>
      </c>
      <c r="I685" s="7">
        <f>IF(K685=TRUE(),E685,0)</f>
        <v>0</v>
      </c>
      <c r="J685" t="b" s="4">
        <v>0</v>
      </c>
      <c r="K685" t="b" s="4">
        <v>0</v>
      </c>
    </row>
    <row r="686" ht="17" customHeight="1">
      <c r="A686" s="4">
        <v>586</v>
      </c>
      <c r="B686" s="5">
        <v>41292</v>
      </c>
      <c r="C686" t="s" s="3">
        <v>90</v>
      </c>
      <c r="D686" t="s" s="3">
        <v>342</v>
      </c>
      <c r="E686" s="6">
        <v>280000</v>
      </c>
      <c r="F686" s="6">
        <f>E686*0.19</f>
        <v>53200</v>
      </c>
      <c r="G686" s="6">
        <f>E686+F686</f>
        <v>333200</v>
      </c>
      <c r="H686" s="7">
        <f>IF(J686=TRUE(),E686,0)</f>
        <v>0</v>
      </c>
      <c r="I686" s="7">
        <f>IF(K686=TRUE(),E686,0)</f>
        <v>0</v>
      </c>
      <c r="J686" t="b" s="4">
        <v>0</v>
      </c>
      <c r="K686" t="b" s="4">
        <v>0</v>
      </c>
    </row>
    <row r="687" ht="17" customHeight="1">
      <c r="A687" s="4">
        <v>587</v>
      </c>
      <c r="B687" s="5">
        <v>41306</v>
      </c>
      <c r="C687" t="s" s="3">
        <v>92</v>
      </c>
      <c r="D687" t="s" s="3">
        <v>211</v>
      </c>
      <c r="E687" s="6">
        <v>726000</v>
      </c>
      <c r="F687" s="6">
        <f>E687*0.19</f>
        <v>137940</v>
      </c>
      <c r="G687" s="6">
        <f>E687+F687</f>
        <v>863940</v>
      </c>
      <c r="H687" s="7">
        <f>IF(J687=TRUE(),E687,0)</f>
        <v>726000</v>
      </c>
      <c r="I687" s="7">
        <f>IF(K687=TRUE(),E687,0)</f>
        <v>0</v>
      </c>
      <c r="J687" t="b" s="4">
        <v>1</v>
      </c>
      <c r="K687" t="b" s="4">
        <v>0</v>
      </c>
    </row>
    <row r="688" ht="17" customHeight="1">
      <c r="A688" s="4">
        <v>588</v>
      </c>
      <c r="B688" s="5">
        <v>41306</v>
      </c>
      <c r="C688" t="s" s="3">
        <v>98</v>
      </c>
      <c r="D688" t="s" s="3">
        <v>211</v>
      </c>
      <c r="E688" s="6">
        <v>462000</v>
      </c>
      <c r="F688" s="6">
        <f>E688*0.19</f>
        <v>87780</v>
      </c>
      <c r="G688" s="6">
        <f>E688+F688</f>
        <v>549780</v>
      </c>
      <c r="H688" s="7">
        <f>IF(J688=TRUE(),E688,0)</f>
        <v>462000</v>
      </c>
      <c r="I688" s="7">
        <f>IF(K688=TRUE(),E688,0)</f>
        <v>0</v>
      </c>
      <c r="J688" t="b" s="4">
        <v>1</v>
      </c>
      <c r="K688" t="b" s="4">
        <v>0</v>
      </c>
    </row>
    <row r="689" ht="17" customHeight="1">
      <c r="A689" s="4">
        <v>589</v>
      </c>
      <c r="B689" s="5">
        <v>41306</v>
      </c>
      <c r="C689" t="s" s="3">
        <v>227</v>
      </c>
      <c r="D689" t="s" s="3">
        <v>343</v>
      </c>
      <c r="E689" s="6">
        <v>79904</v>
      </c>
      <c r="F689" s="6">
        <f>E689*0.19</f>
        <v>15181.76</v>
      </c>
      <c r="G689" s="6">
        <f>E689+F689</f>
        <v>95085.759999999995</v>
      </c>
      <c r="H689" s="7">
        <f>IF(J689=TRUE(),E689,0)</f>
        <v>0</v>
      </c>
      <c r="I689" s="7">
        <f>IF(K689=TRUE(),E689,0)</f>
        <v>0</v>
      </c>
      <c r="J689" t="b" s="4">
        <v>0</v>
      </c>
      <c r="K689" t="b" s="4">
        <v>0</v>
      </c>
    </row>
    <row r="690" ht="17.5" customHeight="1">
      <c r="A690" s="9">
        <v>590</v>
      </c>
      <c r="B690" s="5">
        <v>41306</v>
      </c>
      <c r="C690" t="s" s="10">
        <v>58</v>
      </c>
      <c r="D690" t="s" s="10">
        <v>344</v>
      </c>
      <c r="E690" s="11">
        <v>80000</v>
      </c>
      <c r="F690" s="11">
        <f>E690*0.19</f>
        <v>15200</v>
      </c>
      <c r="G690" s="11">
        <f>E690+F690</f>
        <v>95200</v>
      </c>
      <c r="H690" s="12">
        <f>IF(J690=TRUE(),E690,0)</f>
        <v>0</v>
      </c>
      <c r="I690" s="12">
        <f>IF(K690=TRUE(),E690,0)</f>
        <v>0</v>
      </c>
      <c r="J690" t="b" s="9">
        <v>0</v>
      </c>
      <c r="K690" t="b" s="9">
        <v>0</v>
      </c>
    </row>
    <row r="691" ht="18" customHeight="1">
      <c r="A691" s="13">
        <v>50</v>
      </c>
      <c r="B691" t="s" s="3">
        <v>345</v>
      </c>
      <c r="C691" t="s" s="14">
        <v>7</v>
      </c>
      <c r="D691" s="14"/>
      <c r="E691" s="15">
        <f>SUM(E641:E690)</f>
        <v>13267075</v>
      </c>
      <c r="F691" s="15">
        <f>SUM(F641:F690)</f>
        <v>2520744.249999999</v>
      </c>
      <c r="G691" s="16">
        <f>SUM(G641:G690)</f>
        <v>15787819.25</v>
      </c>
      <c r="H691" s="17">
        <f>SUM(H641:H690)</f>
        <v>5885961</v>
      </c>
      <c r="I691" s="17"/>
      <c r="J691" s="18">
        <f>COUNTIF(J641:J690,TRUE())</f>
        <v>32</v>
      </c>
      <c r="K691" s="19"/>
    </row>
    <row r="692" ht="17.5" customHeight="1">
      <c r="A692" s="20"/>
      <c r="B692" s="5"/>
      <c r="C692" s="20"/>
      <c r="D692" s="21"/>
      <c r="E692" s="20"/>
      <c r="F692" s="20"/>
      <c r="G692" s="20"/>
      <c r="H692" s="22"/>
      <c r="I692" s="22"/>
      <c r="J692" s="20"/>
      <c r="K692" s="20"/>
    </row>
    <row r="693" ht="17" customHeight="1">
      <c r="A693" t="s" s="3">
        <v>1</v>
      </c>
      <c r="B693" t="s" s="3">
        <v>2</v>
      </c>
      <c r="C693" t="s" s="3">
        <v>3</v>
      </c>
      <c r="D693" t="s" s="3">
        <v>4</v>
      </c>
      <c r="E693" t="s" s="3">
        <v>5</v>
      </c>
      <c r="F693" t="s" s="3">
        <v>6</v>
      </c>
      <c r="G693" t="s" s="3">
        <v>7</v>
      </c>
      <c r="H693" s="7"/>
      <c r="I693" s="7"/>
      <c r="J693" s="8"/>
      <c r="K693" s="8"/>
    </row>
    <row r="694" ht="17" customHeight="1">
      <c r="A694" s="4">
        <v>591</v>
      </c>
      <c r="B694" s="5">
        <v>41306</v>
      </c>
      <c r="C694" t="s" s="3">
        <v>58</v>
      </c>
      <c r="D694" t="s" s="3">
        <v>346</v>
      </c>
      <c r="E694" s="6">
        <v>258600</v>
      </c>
      <c r="F694" s="6">
        <f>E694*0.19</f>
        <v>49134</v>
      </c>
      <c r="G694" s="6">
        <f>E694+F694</f>
        <v>307734</v>
      </c>
      <c r="H694" s="7">
        <f>IF(J694=TRUE(),E694,0)</f>
        <v>0</v>
      </c>
      <c r="I694" s="7">
        <f>IF(K694=TRUE(),E694,0)</f>
        <v>0</v>
      </c>
      <c r="J694" t="b" s="4">
        <v>0</v>
      </c>
      <c r="K694" t="b" s="4">
        <v>0</v>
      </c>
    </row>
    <row r="695" ht="17" customHeight="1">
      <c r="A695" s="4">
        <v>592</v>
      </c>
      <c r="B695" s="5">
        <v>41306</v>
      </c>
      <c r="C695" t="s" s="3">
        <v>58</v>
      </c>
      <c r="D695" t="s" s="3">
        <v>347</v>
      </c>
      <c r="E695" s="6">
        <v>258600</v>
      </c>
      <c r="F695" s="6">
        <f>E695*0.19</f>
        <v>49134</v>
      </c>
      <c r="G695" s="6">
        <f>E695+F695</f>
        <v>307734</v>
      </c>
      <c r="H695" s="7">
        <f>IF(J695=TRUE(),E695,0)</f>
        <v>0</v>
      </c>
      <c r="I695" s="7">
        <f>IF(K695=TRUE(),E695,0)</f>
        <v>0</v>
      </c>
      <c r="J695" t="b" s="4">
        <v>0</v>
      </c>
      <c r="K695" t="b" s="4">
        <v>0</v>
      </c>
    </row>
    <row r="696" ht="17" customHeight="1">
      <c r="A696" s="4">
        <v>594</v>
      </c>
      <c r="B696" s="5">
        <v>41319</v>
      </c>
      <c r="C696" t="s" s="3">
        <v>25</v>
      </c>
      <c r="D696" t="s" s="3">
        <v>348</v>
      </c>
      <c r="E696" s="6">
        <v>267100</v>
      </c>
      <c r="F696" s="6">
        <f>E696*0.19</f>
        <v>50749</v>
      </c>
      <c r="G696" s="6">
        <f>E696+F696</f>
        <v>317849</v>
      </c>
      <c r="H696" s="7">
        <f>IF(J696=TRUE(),E696,0)</f>
        <v>0</v>
      </c>
      <c r="I696" s="7">
        <f>IF(K696=TRUE(),E696,0)</f>
        <v>0</v>
      </c>
      <c r="J696" t="b" s="4">
        <v>0</v>
      </c>
      <c r="K696" t="b" s="4">
        <v>0</v>
      </c>
    </row>
    <row r="697" ht="17" customHeight="1">
      <c r="A697" s="4">
        <v>595</v>
      </c>
      <c r="B697" s="5">
        <v>41306</v>
      </c>
      <c r="C697" t="s" s="3">
        <v>58</v>
      </c>
      <c r="D697" t="s" s="3">
        <v>349</v>
      </c>
      <c r="E697" s="6">
        <v>75265</v>
      </c>
      <c r="F697" s="6">
        <f>E697*0.19</f>
        <v>14300.35</v>
      </c>
      <c r="G697" s="6">
        <f>E697+F697</f>
        <v>89565.350000000006</v>
      </c>
      <c r="H697" s="7">
        <f>IF(J697=TRUE(),E697,0)</f>
        <v>0</v>
      </c>
      <c r="I697" s="7">
        <f>IF(K697=TRUE(),E697,0)</f>
        <v>0</v>
      </c>
      <c r="J697" t="b" s="4">
        <v>0</v>
      </c>
      <c r="K697" t="b" s="4">
        <v>0</v>
      </c>
    </row>
    <row r="698" ht="17" customHeight="1">
      <c r="A698" s="4">
        <v>596</v>
      </c>
      <c r="B698" s="5">
        <v>41306</v>
      </c>
      <c r="C698" t="s" s="3">
        <v>58</v>
      </c>
      <c r="D698" t="s" s="3">
        <v>350</v>
      </c>
      <c r="E698" s="6">
        <v>240594</v>
      </c>
      <c r="F698" s="6">
        <f>E698*0.19</f>
        <v>45712.86</v>
      </c>
      <c r="G698" s="6">
        <f>E698+F698</f>
        <v>286306.86</v>
      </c>
      <c r="H698" s="7">
        <f>IF(J698=TRUE(),E698,0)</f>
        <v>0</v>
      </c>
      <c r="I698" s="7">
        <f>IF(K698=TRUE(),E698,0)</f>
        <v>0</v>
      </c>
      <c r="J698" t="b" s="4">
        <v>0</v>
      </c>
      <c r="K698" t="b" s="4">
        <v>0</v>
      </c>
    </row>
    <row r="699" ht="17" customHeight="1">
      <c r="A699" s="4">
        <v>597</v>
      </c>
      <c r="B699" s="5">
        <v>41306</v>
      </c>
      <c r="C699" t="s" s="3">
        <v>92</v>
      </c>
      <c r="D699" t="s" s="3">
        <v>23</v>
      </c>
      <c r="E699" s="6">
        <v>561000</v>
      </c>
      <c r="F699" s="6">
        <f>E699*0.19</f>
        <v>106590</v>
      </c>
      <c r="G699" s="6">
        <f>E699+F699</f>
        <v>667590</v>
      </c>
      <c r="H699" s="7">
        <f>IF(J699=TRUE(),E699,0)</f>
        <v>561000</v>
      </c>
      <c r="I699" s="7">
        <f>IF(K699=TRUE(),E699,0)</f>
        <v>0</v>
      </c>
      <c r="J699" t="b" s="4">
        <v>1</v>
      </c>
      <c r="K699" t="b" s="4">
        <v>0</v>
      </c>
    </row>
    <row r="700" ht="17" customHeight="1">
      <c r="A700" s="4">
        <v>598</v>
      </c>
      <c r="B700" s="5">
        <v>41306</v>
      </c>
      <c r="C700" t="s" s="3">
        <v>316</v>
      </c>
      <c r="D700" t="s" s="3">
        <v>52</v>
      </c>
      <c r="E700" s="6">
        <v>171057</v>
      </c>
      <c r="F700" s="6">
        <f>E700*0.19</f>
        <v>32500.83</v>
      </c>
      <c r="G700" s="6">
        <f>E700+F700</f>
        <v>203557.83</v>
      </c>
      <c r="H700" s="7">
        <f>IF(J700=TRUE(),E700,0)</f>
        <v>171057</v>
      </c>
      <c r="I700" s="7">
        <f>IF(K700=TRUE(),E700,0)</f>
        <v>0</v>
      </c>
      <c r="J700" t="b" s="4">
        <v>1</v>
      </c>
      <c r="K700" t="b" s="4">
        <v>0</v>
      </c>
    </row>
    <row r="701" ht="17" customHeight="1">
      <c r="A701" s="4">
        <v>599</v>
      </c>
      <c r="B701" s="5">
        <v>41332</v>
      </c>
      <c r="C701" t="s" s="3">
        <v>10</v>
      </c>
      <c r="D701" t="s" s="3">
        <v>291</v>
      </c>
      <c r="E701" s="6">
        <v>598698</v>
      </c>
      <c r="F701" s="6">
        <f>E701*0.19</f>
        <v>113752.62</v>
      </c>
      <c r="G701" s="6">
        <f>E701+F701</f>
        <v>712450.62</v>
      </c>
      <c r="H701" s="7">
        <f>IF(J701=TRUE(),E701,0)</f>
        <v>0</v>
      </c>
      <c r="I701" s="7">
        <f>IF(K701=TRUE(),E701,0)</f>
        <v>0</v>
      </c>
      <c r="J701" t="b" s="4">
        <v>0</v>
      </c>
      <c r="K701" t="b" s="4">
        <v>0</v>
      </c>
    </row>
    <row r="702" ht="17" customHeight="1">
      <c r="A702" s="4">
        <v>600</v>
      </c>
      <c r="B702" s="5">
        <v>41306</v>
      </c>
      <c r="C702" t="s" s="3">
        <v>22</v>
      </c>
      <c r="D702" t="s" s="3">
        <v>52</v>
      </c>
      <c r="E702" s="6">
        <v>158740</v>
      </c>
      <c r="F702" s="6">
        <f>E702*0.19</f>
        <v>30160.6</v>
      </c>
      <c r="G702" s="6">
        <f>E702+F702</f>
        <v>188900.6</v>
      </c>
      <c r="H702" s="7">
        <f>IF(J702=TRUE(),E702,0)</f>
        <v>158740</v>
      </c>
      <c r="I702" s="7">
        <f>IF(K702=TRUE(),E702,0)</f>
        <v>0</v>
      </c>
      <c r="J702" t="b" s="4">
        <v>1</v>
      </c>
      <c r="K702" t="b" s="4">
        <v>0</v>
      </c>
    </row>
    <row r="703" ht="17" customHeight="1">
      <c r="A703" s="4">
        <v>601</v>
      </c>
      <c r="B703" s="5">
        <v>41306</v>
      </c>
      <c r="C703" t="s" s="3">
        <v>40</v>
      </c>
      <c r="D703" t="s" s="3">
        <v>52</v>
      </c>
      <c r="E703" s="6">
        <v>158000</v>
      </c>
      <c r="F703" s="6">
        <f>E703*0.19</f>
        <v>30020</v>
      </c>
      <c r="G703" s="6">
        <f>E703+F703</f>
        <v>188020</v>
      </c>
      <c r="H703" s="7">
        <f>IF(J703=TRUE(),E703,0)</f>
        <v>158000</v>
      </c>
      <c r="I703" s="7">
        <f>IF(K703=TRUE(),E703,0)</f>
        <v>0</v>
      </c>
      <c r="J703" t="b" s="4">
        <v>1</v>
      </c>
      <c r="K703" t="b" s="4">
        <v>0</v>
      </c>
    </row>
    <row r="704" ht="17" customHeight="1">
      <c r="A704" s="4">
        <v>602</v>
      </c>
      <c r="B704" s="5">
        <v>41306</v>
      </c>
      <c r="C704" t="s" s="3">
        <v>42</v>
      </c>
      <c r="D704" t="s" s="3">
        <v>52</v>
      </c>
      <c r="E704" s="6">
        <v>236970</v>
      </c>
      <c r="F704" s="6">
        <f>E704*0.19</f>
        <v>45024.3</v>
      </c>
      <c r="G704" s="6">
        <f>E704+F704</f>
        <v>281994.3</v>
      </c>
      <c r="H704" s="7">
        <f>IF(J704=TRUE(),E704,0)</f>
        <v>236970</v>
      </c>
      <c r="I704" s="7">
        <f>IF(K704=TRUE(),E704,0)</f>
        <v>0</v>
      </c>
      <c r="J704" t="b" s="4">
        <v>1</v>
      </c>
      <c r="K704" t="b" s="4">
        <v>0</v>
      </c>
    </row>
    <row r="705" ht="17" customHeight="1">
      <c r="A705" s="4">
        <v>603</v>
      </c>
      <c r="B705" s="5">
        <v>41306</v>
      </c>
      <c r="C705" t="s" s="3">
        <v>60</v>
      </c>
      <c r="D705" t="s" s="3">
        <v>52</v>
      </c>
      <c r="E705" s="6">
        <v>69335</v>
      </c>
      <c r="F705" s="6">
        <f>E705*0.19</f>
        <v>13173.65</v>
      </c>
      <c r="G705" s="6">
        <f>E705+F705</f>
        <v>82508.649999999994</v>
      </c>
      <c r="H705" s="7">
        <f>IF(J705=TRUE(),E705,0)</f>
        <v>69335</v>
      </c>
      <c r="I705" s="7">
        <f>IF(K705=TRUE(),E705,0)</f>
        <v>0</v>
      </c>
      <c r="J705" t="b" s="4">
        <v>1</v>
      </c>
      <c r="K705" t="b" s="4">
        <v>0</v>
      </c>
    </row>
    <row r="706" ht="17" customHeight="1">
      <c r="A706" s="4">
        <v>604</v>
      </c>
      <c r="B706" s="5">
        <v>41306</v>
      </c>
      <c r="C706" t="s" s="3">
        <v>34</v>
      </c>
      <c r="D706" t="s" s="3">
        <v>52</v>
      </c>
      <c r="E706" s="6">
        <v>53370</v>
      </c>
      <c r="F706" s="6">
        <f>E706*0.19</f>
        <v>10140.3</v>
      </c>
      <c r="G706" s="6">
        <f>E706+F706</f>
        <v>63510.3</v>
      </c>
      <c r="H706" s="7">
        <f>IF(J706=TRUE(),E706,0)</f>
        <v>53370</v>
      </c>
      <c r="I706" s="7">
        <f>IF(K706=TRUE(),E706,0)</f>
        <v>0</v>
      </c>
      <c r="J706" t="b" s="4">
        <v>1</v>
      </c>
      <c r="K706" t="b" s="4">
        <v>0</v>
      </c>
    </row>
    <row r="707" ht="17" customHeight="1">
      <c r="A707" s="4">
        <v>605</v>
      </c>
      <c r="B707" s="5">
        <v>41306</v>
      </c>
      <c r="C707" t="s" s="3">
        <v>230</v>
      </c>
      <c r="D707" t="s" s="3">
        <v>52</v>
      </c>
      <c r="E707" s="6">
        <v>228075</v>
      </c>
      <c r="F707" s="6">
        <f>E707*0.19</f>
        <v>43334.25</v>
      </c>
      <c r="G707" s="6">
        <f>E707+F707</f>
        <v>271409.25</v>
      </c>
      <c r="H707" s="7">
        <f>IF(J707=TRUE(),E707,0)</f>
        <v>228075</v>
      </c>
      <c r="I707" s="7">
        <f>IF(K707=TRUE(),E707,0)</f>
        <v>0</v>
      </c>
      <c r="J707" t="b" s="4">
        <v>1</v>
      </c>
      <c r="K707" t="b" s="4">
        <v>0</v>
      </c>
    </row>
    <row r="708" ht="17" customHeight="1">
      <c r="A708" s="4">
        <v>606</v>
      </c>
      <c r="B708" s="5">
        <v>41306</v>
      </c>
      <c r="C708" t="s" s="3">
        <v>268</v>
      </c>
      <c r="D708" t="s" s="3">
        <v>52</v>
      </c>
      <c r="E708" s="6">
        <v>51317</v>
      </c>
      <c r="F708" s="6">
        <f>E708*0.19</f>
        <v>9750.23</v>
      </c>
      <c r="G708" s="6">
        <f>E708+F708</f>
        <v>61067.23</v>
      </c>
      <c r="H708" s="7">
        <f>IF(J708=TRUE(),E708,0)</f>
        <v>51317</v>
      </c>
      <c r="I708" s="7">
        <f>IF(K708=TRUE(),E708,0)</f>
        <v>0</v>
      </c>
      <c r="J708" t="b" s="4">
        <v>1</v>
      </c>
      <c r="K708" t="b" s="4">
        <v>0</v>
      </c>
    </row>
    <row r="709" ht="17.5" customHeight="1">
      <c r="A709" s="9">
        <v>607</v>
      </c>
      <c r="B709" s="5">
        <v>41306</v>
      </c>
      <c r="C709" t="s" s="10">
        <v>66</v>
      </c>
      <c r="D709" t="s" s="10">
        <v>52</v>
      </c>
      <c r="E709" s="11">
        <v>139126</v>
      </c>
      <c r="F709" s="11">
        <f>E709*0.19</f>
        <v>26433.94</v>
      </c>
      <c r="G709" s="11">
        <f>E709+F709</f>
        <v>165559.94</v>
      </c>
      <c r="H709" s="12">
        <f>IF(J709=TRUE(),E709,0)</f>
        <v>139126</v>
      </c>
      <c r="I709" s="12">
        <f>IF(K709=TRUE(),E709,0)</f>
        <v>0</v>
      </c>
      <c r="J709" t="b" s="9">
        <v>1</v>
      </c>
      <c r="K709" t="b" s="9">
        <v>0</v>
      </c>
    </row>
    <row r="710" ht="18" customHeight="1">
      <c r="A710" s="13">
        <f>COUNT(A694:A709)</f>
        <v>16</v>
      </c>
      <c r="B710" t="s" s="3">
        <v>351</v>
      </c>
      <c r="C710" t="s" s="14">
        <v>7</v>
      </c>
      <c r="D710" s="14"/>
      <c r="E710" s="15">
        <f>SUM(E694:E709)</f>
        <v>3525847</v>
      </c>
      <c r="F710" s="15">
        <f>SUM(F694:F709)</f>
        <v>669910.9300000001</v>
      </c>
      <c r="G710" s="16">
        <f>SUM(G694:G709)</f>
        <v>4195757.93</v>
      </c>
      <c r="H710" s="17">
        <f>SUM(H694:H709)</f>
        <v>1826990</v>
      </c>
      <c r="I710" s="17"/>
      <c r="J710" s="18">
        <f>COUNTIF(J694:J709,TRUE())</f>
        <v>10</v>
      </c>
      <c r="K710" s="19"/>
    </row>
    <row r="711" ht="17.5" customHeight="1">
      <c r="A711" s="20"/>
      <c r="B711" s="5"/>
      <c r="C711" s="20"/>
      <c r="D711" s="21"/>
      <c r="E711" s="20"/>
      <c r="F711" s="20"/>
      <c r="G711" s="20"/>
      <c r="H711" s="22"/>
      <c r="I711" s="22"/>
      <c r="J711" s="20"/>
      <c r="K711" s="20"/>
    </row>
    <row r="712" ht="17" customHeight="1">
      <c r="A712" t="s" s="3">
        <v>1</v>
      </c>
      <c r="B712" t="s" s="3">
        <v>2</v>
      </c>
      <c r="C712" t="s" s="3">
        <v>3</v>
      </c>
      <c r="D712" t="s" s="3">
        <v>4</v>
      </c>
      <c r="E712" t="s" s="3">
        <v>5</v>
      </c>
      <c r="F712" t="s" s="3">
        <v>6</v>
      </c>
      <c r="G712" t="s" s="3">
        <v>7</v>
      </c>
      <c r="H712" s="7"/>
      <c r="I712" s="7"/>
      <c r="J712" s="8"/>
      <c r="K712" s="8"/>
    </row>
    <row r="713" ht="17" customHeight="1">
      <c r="A713" t="s" s="3">
        <v>352</v>
      </c>
      <c r="B713" s="5">
        <v>41334</v>
      </c>
      <c r="C713" t="s" s="3">
        <v>92</v>
      </c>
      <c r="D713" t="s" s="3">
        <v>23</v>
      </c>
      <c r="E713" s="6">
        <v>-66000</v>
      </c>
      <c r="F713" s="6">
        <f>E713*0.19</f>
        <v>-12540</v>
      </c>
      <c r="G713" s="6">
        <f>E713+F713</f>
        <v>-78540</v>
      </c>
      <c r="H713" s="7">
        <f>IF(J713=TRUE(),E713,0)</f>
        <v>-66000</v>
      </c>
      <c r="I713" s="7">
        <f>IF(K713=TRUE(),E713,0)</f>
        <v>0</v>
      </c>
      <c r="J713" t="b" s="4">
        <v>1</v>
      </c>
      <c r="K713" t="b" s="4">
        <v>0</v>
      </c>
    </row>
    <row r="714" ht="17" customHeight="1">
      <c r="A714" s="4">
        <v>608</v>
      </c>
      <c r="B714" s="5">
        <v>41334</v>
      </c>
      <c r="C714" t="s" s="3">
        <v>58</v>
      </c>
      <c r="D714" t="s" s="3">
        <v>353</v>
      </c>
      <c r="E714" s="6">
        <v>164449</v>
      </c>
      <c r="F714" s="6">
        <f>E714*0.19</f>
        <v>31245.31</v>
      </c>
      <c r="G714" s="6">
        <f>E714+F714</f>
        <v>195694.31</v>
      </c>
      <c r="H714" s="7">
        <f>IF(J714=TRUE(),E714,0)</f>
        <v>0</v>
      </c>
      <c r="I714" s="7">
        <f>IF(K714=TRUE(),E714,0)</f>
        <v>0</v>
      </c>
      <c r="J714" t="b" s="4">
        <v>0</v>
      </c>
      <c r="K714" t="b" s="4">
        <v>0</v>
      </c>
    </row>
    <row r="715" ht="17" customHeight="1">
      <c r="A715" s="4">
        <v>609</v>
      </c>
      <c r="B715" s="5">
        <v>41334</v>
      </c>
      <c r="C715" t="s" s="3">
        <v>58</v>
      </c>
      <c r="D715" t="s" s="3">
        <v>354</v>
      </c>
      <c r="E715" s="6">
        <v>59384</v>
      </c>
      <c r="F715" s="6">
        <f>E715*0.19</f>
        <v>11282.96</v>
      </c>
      <c r="G715" s="6">
        <f>E715+F715</f>
        <v>70666.960000000006</v>
      </c>
      <c r="H715" s="7">
        <f>IF(J715=TRUE(),E715,0)</f>
        <v>0</v>
      </c>
      <c r="I715" s="7">
        <f>IF(K715=TRUE(),E715,0)</f>
        <v>0</v>
      </c>
      <c r="J715" t="b" s="4">
        <v>0</v>
      </c>
      <c r="K715" t="b" s="4">
        <v>0</v>
      </c>
    </row>
    <row r="716" ht="17" customHeight="1">
      <c r="A716" s="4">
        <v>610</v>
      </c>
      <c r="B716" s="5">
        <v>41334</v>
      </c>
      <c r="C716" t="s" s="3">
        <v>127</v>
      </c>
      <c r="D716" t="s" s="3">
        <v>355</v>
      </c>
      <c r="E716" s="6">
        <v>1619625</v>
      </c>
      <c r="F716" s="6">
        <f>E716*0.19</f>
        <v>307728.75</v>
      </c>
      <c r="G716" s="6">
        <f>E716+F716</f>
        <v>1927353.75</v>
      </c>
      <c r="H716" s="7">
        <f>IF(J716=TRUE(),E716,0)</f>
        <v>0</v>
      </c>
      <c r="I716" s="7">
        <f>IF(K716=TRUE(),E716,0)</f>
        <v>0</v>
      </c>
      <c r="J716" t="b" s="4">
        <v>0</v>
      </c>
      <c r="K716" t="b" s="4">
        <v>0</v>
      </c>
    </row>
    <row r="717" ht="17" customHeight="1">
      <c r="A717" s="4">
        <v>611</v>
      </c>
      <c r="B717" s="5">
        <v>41334</v>
      </c>
      <c r="C717" t="s" s="3">
        <v>120</v>
      </c>
      <c r="D717" t="s" s="3">
        <v>355</v>
      </c>
      <c r="E717" s="6">
        <v>1619625</v>
      </c>
      <c r="F717" s="6">
        <f>E717*0.19</f>
        <v>307728.75</v>
      </c>
      <c r="G717" s="6">
        <f>E717+F717</f>
        <v>1927353.75</v>
      </c>
      <c r="H717" s="7">
        <f>IF(J717=TRUE(),E717,0)</f>
        <v>0</v>
      </c>
      <c r="I717" s="7">
        <f>IF(K717=TRUE(),E717,0)</f>
        <v>0</v>
      </c>
      <c r="J717" t="b" s="4">
        <v>0</v>
      </c>
      <c r="K717" t="b" s="4">
        <v>0</v>
      </c>
    </row>
    <row r="718" ht="17" customHeight="1">
      <c r="A718" s="4">
        <v>612</v>
      </c>
      <c r="B718" s="5">
        <v>41334</v>
      </c>
      <c r="C718" t="s" s="3">
        <v>33</v>
      </c>
      <c r="D718" t="s" s="3">
        <v>356</v>
      </c>
      <c r="E718" s="6">
        <v>878000</v>
      </c>
      <c r="F718" s="6">
        <f>E718*0.19</f>
        <v>166820</v>
      </c>
      <c r="G718" s="6">
        <f>E718+F718</f>
        <v>1044820</v>
      </c>
      <c r="H718" s="7">
        <f>IF(J718=TRUE(),E718,0)</f>
        <v>0</v>
      </c>
      <c r="I718" s="7">
        <f>IF(K718=TRUE(),E718,0)</f>
        <v>0</v>
      </c>
      <c r="J718" t="b" s="4">
        <v>0</v>
      </c>
      <c r="K718" t="b" s="4">
        <v>0</v>
      </c>
    </row>
    <row r="719" ht="17" customHeight="1">
      <c r="A719" s="4">
        <v>613</v>
      </c>
      <c r="B719" s="5">
        <v>41334</v>
      </c>
      <c r="C719" t="s" s="3">
        <v>22</v>
      </c>
      <c r="D719" t="s" s="3">
        <v>70</v>
      </c>
      <c r="E719" s="6">
        <v>158967</v>
      </c>
      <c r="F719" s="6">
        <f>E719*0.19</f>
        <v>30203.73</v>
      </c>
      <c r="G719" s="6">
        <f>E719+F719</f>
        <v>189170.73</v>
      </c>
      <c r="H719" s="7">
        <f>IF(J719=TRUE(),E719,0)</f>
        <v>158967</v>
      </c>
      <c r="I719" s="7">
        <f>IF(K719=TRUE(),E719,0)</f>
        <v>0</v>
      </c>
      <c r="J719" t="b" s="4">
        <v>1</v>
      </c>
      <c r="K719" t="b" s="4">
        <v>0</v>
      </c>
    </row>
    <row r="720" ht="17" customHeight="1">
      <c r="A720" s="4">
        <v>614</v>
      </c>
      <c r="B720" s="5">
        <v>41334</v>
      </c>
      <c r="C720" t="s" s="3">
        <v>357</v>
      </c>
      <c r="D720" t="s" s="3">
        <v>70</v>
      </c>
      <c r="E720" s="6">
        <v>137041</v>
      </c>
      <c r="F720" s="6">
        <f>E720*0.19</f>
        <v>26037.79</v>
      </c>
      <c r="G720" s="6">
        <f>E720+F720</f>
        <v>163078.79</v>
      </c>
      <c r="H720" s="7">
        <f>IF(J720=TRUE(),E720,0)</f>
        <v>137041</v>
      </c>
      <c r="I720" s="7">
        <f>IF(K720=TRUE(),E720,0)</f>
        <v>0</v>
      </c>
      <c r="J720" t="b" s="4">
        <v>1</v>
      </c>
      <c r="K720" t="b" s="4">
        <v>0</v>
      </c>
    </row>
    <row r="721" ht="17" customHeight="1">
      <c r="A721" s="4">
        <v>615</v>
      </c>
      <c r="B721" s="5">
        <v>41334</v>
      </c>
      <c r="C721" t="s" s="3">
        <v>358</v>
      </c>
      <c r="D721" t="s" s="3">
        <v>236</v>
      </c>
      <c r="E721" s="6">
        <v>322000</v>
      </c>
      <c r="F721" s="6">
        <f>E721*0.19</f>
        <v>61180</v>
      </c>
      <c r="G721" s="6">
        <f>E721+F721</f>
        <v>383180</v>
      </c>
      <c r="H721" s="7">
        <f>IF(J721=TRUE(),E721,0)</f>
        <v>0</v>
      </c>
      <c r="I721" s="7">
        <f>IF(K721=TRUE(),E721,0)</f>
        <v>0</v>
      </c>
      <c r="J721" t="b" s="4">
        <v>0</v>
      </c>
      <c r="K721" t="b" s="4">
        <v>0</v>
      </c>
    </row>
    <row r="722" ht="17" customHeight="1">
      <c r="A722" s="4">
        <v>616</v>
      </c>
      <c r="B722" s="5">
        <v>41334</v>
      </c>
      <c r="C722" t="s" s="3">
        <v>40</v>
      </c>
      <c r="D722" t="s" s="3">
        <v>70</v>
      </c>
      <c r="E722" s="6">
        <v>158000</v>
      </c>
      <c r="F722" s="6">
        <f>E722*0.19</f>
        <v>30020</v>
      </c>
      <c r="G722" s="6">
        <f>E722+F722</f>
        <v>188020</v>
      </c>
      <c r="H722" s="7">
        <f>IF(J722=TRUE(),E722,0)</f>
        <v>158000</v>
      </c>
      <c r="I722" s="7">
        <f>IF(K722=TRUE(),E722,0)</f>
        <v>0</v>
      </c>
      <c r="J722" t="b" s="4">
        <v>1</v>
      </c>
      <c r="K722" t="b" s="4">
        <v>0</v>
      </c>
    </row>
    <row r="723" ht="17" customHeight="1">
      <c r="A723" s="4">
        <v>621</v>
      </c>
      <c r="B723" s="5">
        <v>41334</v>
      </c>
      <c r="C723" t="s" s="3">
        <v>34</v>
      </c>
      <c r="D723" t="s" s="3">
        <v>70</v>
      </c>
      <c r="E723" s="6">
        <v>53446</v>
      </c>
      <c r="F723" s="6">
        <f>E723*0.19</f>
        <v>10154.74</v>
      </c>
      <c r="G723" s="6">
        <f>E723+F723</f>
        <v>63600.74</v>
      </c>
      <c r="H723" s="7">
        <f>IF(J723=TRUE(),E723,0)</f>
        <v>53446</v>
      </c>
      <c r="I723" s="7">
        <f>IF(K723=TRUE(),E723,0)</f>
        <v>0</v>
      </c>
      <c r="J723" t="b" s="4">
        <v>1</v>
      </c>
      <c r="K723" t="b" s="4">
        <v>0</v>
      </c>
    </row>
    <row r="724" ht="17" customHeight="1">
      <c r="A724" s="4">
        <v>622</v>
      </c>
      <c r="B724" s="5">
        <v>41334</v>
      </c>
      <c r="C724" t="s" s="3">
        <v>60</v>
      </c>
      <c r="D724" t="s" s="3">
        <v>70</v>
      </c>
      <c r="E724" s="6">
        <v>69434</v>
      </c>
      <c r="F724" s="6">
        <f>E724*0.19</f>
        <v>13192.46</v>
      </c>
      <c r="G724" s="6">
        <f>E724+F724</f>
        <v>82626.460000000006</v>
      </c>
      <c r="H724" s="7">
        <f>IF(J724=TRUE(),E724,0)</f>
        <v>69434</v>
      </c>
      <c r="I724" s="7">
        <f>IF(K724=TRUE(),E724,0)</f>
        <v>0</v>
      </c>
      <c r="J724" t="b" s="4">
        <v>1</v>
      </c>
      <c r="K724" t="b" s="4">
        <v>0</v>
      </c>
    </row>
    <row r="725" ht="17" customHeight="1">
      <c r="A725" s="4">
        <v>623</v>
      </c>
      <c r="B725" s="5">
        <v>41334</v>
      </c>
      <c r="C725" t="s" s="3">
        <v>42</v>
      </c>
      <c r="D725" t="s" s="3">
        <v>70</v>
      </c>
      <c r="E725" s="6">
        <v>237309</v>
      </c>
      <c r="F725" s="6">
        <f>E725*0.19</f>
        <v>45088.71</v>
      </c>
      <c r="G725" s="6">
        <f>E725+F725</f>
        <v>282397.71</v>
      </c>
      <c r="H725" s="7">
        <f>IF(J725=TRUE(),E725,0)</f>
        <v>237309</v>
      </c>
      <c r="I725" s="7">
        <f>IF(K725=TRUE(),E725,0)</f>
        <v>0</v>
      </c>
      <c r="J725" t="b" s="4">
        <v>1</v>
      </c>
      <c r="K725" t="b" s="4">
        <v>0</v>
      </c>
    </row>
    <row r="726" ht="17" customHeight="1">
      <c r="A726" s="4">
        <v>624</v>
      </c>
      <c r="B726" s="5">
        <v>41334</v>
      </c>
      <c r="C726" t="s" s="3">
        <v>66</v>
      </c>
      <c r="D726" t="s" s="3">
        <v>70</v>
      </c>
      <c r="E726" s="6">
        <v>139325</v>
      </c>
      <c r="F726" s="6">
        <f>E726*0.19</f>
        <v>26471.75</v>
      </c>
      <c r="G726" s="6">
        <f>E726+F726</f>
        <v>165796.75</v>
      </c>
      <c r="H726" s="7">
        <f>IF(J726=TRUE(),E726,0)</f>
        <v>139325</v>
      </c>
      <c r="I726" s="7">
        <f>IF(K726=TRUE(),E726,0)</f>
        <v>0</v>
      </c>
      <c r="J726" t="b" s="4">
        <v>1</v>
      </c>
      <c r="K726" t="b" s="4">
        <v>0</v>
      </c>
    </row>
    <row r="727" ht="17" customHeight="1">
      <c r="A727" s="4">
        <v>625</v>
      </c>
      <c r="B727" s="5">
        <v>41334</v>
      </c>
      <c r="C727" t="s" s="3">
        <v>230</v>
      </c>
      <c r="D727" t="s" s="3">
        <v>70</v>
      </c>
      <c r="E727" s="6">
        <v>22840</v>
      </c>
      <c r="F727" s="6">
        <f>E727*0.19</f>
        <v>4339.6</v>
      </c>
      <c r="G727" s="6">
        <f>E727+F727</f>
        <v>27179.6</v>
      </c>
      <c r="H727" s="7">
        <f>IF(J727=TRUE(),E727,0)</f>
        <v>22840</v>
      </c>
      <c r="I727" s="7">
        <f>IF(K727=TRUE(),E727,0)</f>
        <v>0</v>
      </c>
      <c r="J727" t="b" s="4">
        <v>1</v>
      </c>
      <c r="K727" t="b" s="4">
        <v>0</v>
      </c>
    </row>
    <row r="728" ht="17" customHeight="1">
      <c r="A728" s="4">
        <v>626</v>
      </c>
      <c r="B728" s="5">
        <v>41334</v>
      </c>
      <c r="C728" t="s" s="3">
        <v>268</v>
      </c>
      <c r="D728" t="s" s="3">
        <v>70</v>
      </c>
      <c r="E728" s="6">
        <v>51390</v>
      </c>
      <c r="F728" s="6">
        <f>E728*0.19</f>
        <v>9764.1</v>
      </c>
      <c r="G728" s="6">
        <f>E728+F728</f>
        <v>61154.1</v>
      </c>
      <c r="H728" s="7">
        <f>IF(J728=TRUE(),E728,0)</f>
        <v>51390</v>
      </c>
      <c r="I728" s="7">
        <f>IF(K728=TRUE(),E728,0)</f>
        <v>0</v>
      </c>
      <c r="J728" t="b" s="4">
        <v>1</v>
      </c>
      <c r="K728" t="b" s="4">
        <v>0</v>
      </c>
    </row>
    <row r="729" ht="17" customHeight="1">
      <c r="A729" s="4">
        <v>627</v>
      </c>
      <c r="B729" s="5">
        <v>41334</v>
      </c>
      <c r="C729" t="s" s="3">
        <v>312</v>
      </c>
      <c r="D729" t="s" s="3">
        <v>32</v>
      </c>
      <c r="E729" s="6">
        <v>60532</v>
      </c>
      <c r="F729" s="6">
        <f>E729*0.19</f>
        <v>11501.08</v>
      </c>
      <c r="G729" s="6">
        <f>E729+F729</f>
        <v>72033.08</v>
      </c>
      <c r="H729" s="7">
        <f>IF(J729=TRUE(),E729,0)</f>
        <v>60532</v>
      </c>
      <c r="I729" s="7">
        <f>IF(K729=TRUE(),E729,0)</f>
        <v>0</v>
      </c>
      <c r="J729" t="b" s="4">
        <v>1</v>
      </c>
      <c r="K729" t="b" s="4">
        <v>0</v>
      </c>
    </row>
    <row r="730" ht="17" customHeight="1">
      <c r="A730" s="4">
        <v>628</v>
      </c>
      <c r="B730" s="5">
        <v>41334</v>
      </c>
      <c r="C730" t="s" s="3">
        <v>120</v>
      </c>
      <c r="D730" t="s" s="3">
        <v>52</v>
      </c>
      <c r="E730" s="6">
        <v>470748</v>
      </c>
      <c r="F730" s="6">
        <f>E730*0.19</f>
        <v>89442.12</v>
      </c>
      <c r="G730" s="6">
        <f>E730+F730</f>
        <v>560190.12</v>
      </c>
      <c r="H730" s="7">
        <f>IF(J730=TRUE(),E730,0)</f>
        <v>470748</v>
      </c>
      <c r="I730" s="7">
        <f>IF(K730=TRUE(),E730,0)</f>
        <v>0</v>
      </c>
      <c r="J730" t="b" s="4">
        <v>1</v>
      </c>
      <c r="K730" t="b" s="4">
        <v>0</v>
      </c>
    </row>
    <row r="731" ht="17" customHeight="1">
      <c r="A731" s="4">
        <v>629</v>
      </c>
      <c r="B731" s="5">
        <v>41334</v>
      </c>
      <c r="C731" t="s" s="3">
        <v>120</v>
      </c>
      <c r="D731" t="s" s="3">
        <v>70</v>
      </c>
      <c r="E731" s="6">
        <v>471420</v>
      </c>
      <c r="F731" s="6">
        <f>E731*0.19</f>
        <v>89569.8</v>
      </c>
      <c r="G731" s="6">
        <f>E731+F731</f>
        <v>560989.8</v>
      </c>
      <c r="H731" s="7">
        <f>IF(J731=TRUE(),E731,0)</f>
        <v>471420</v>
      </c>
      <c r="I731" s="7">
        <f>IF(K731=TRUE(),E731,0)</f>
        <v>0</v>
      </c>
      <c r="J731" t="b" s="4">
        <v>1</v>
      </c>
      <c r="K731" t="b" s="4">
        <v>0</v>
      </c>
    </row>
    <row r="732" ht="17" customHeight="1">
      <c r="A732" s="4">
        <v>630</v>
      </c>
      <c r="B732" s="5">
        <v>41334</v>
      </c>
      <c r="C732" t="s" s="3">
        <v>127</v>
      </c>
      <c r="D732" t="s" s="3">
        <v>52</v>
      </c>
      <c r="E732" s="6">
        <v>575206</v>
      </c>
      <c r="F732" s="6">
        <f>E732*0.19</f>
        <v>109289.14</v>
      </c>
      <c r="G732" s="6">
        <f>E732+F732</f>
        <v>684495.14</v>
      </c>
      <c r="H732" s="7">
        <f>IF(J732=TRUE(),E732,0)</f>
        <v>575206</v>
      </c>
      <c r="I732" s="7">
        <f>IF(K732=TRUE(),E732,0)</f>
        <v>0</v>
      </c>
      <c r="J732" t="b" s="4">
        <v>1</v>
      </c>
      <c r="K732" t="b" s="4">
        <v>0</v>
      </c>
    </row>
    <row r="733" ht="17" customHeight="1">
      <c r="A733" s="4">
        <v>631</v>
      </c>
      <c r="B733" s="5">
        <v>41334</v>
      </c>
      <c r="C733" t="s" s="3">
        <v>127</v>
      </c>
      <c r="D733" t="s" s="3">
        <v>70</v>
      </c>
      <c r="E733" s="6">
        <v>576028</v>
      </c>
      <c r="F733" s="6">
        <f>E733*0.19</f>
        <v>109445.32</v>
      </c>
      <c r="G733" s="6">
        <f>E733+F733</f>
        <v>685473.3200000001</v>
      </c>
      <c r="H733" s="7">
        <f>IF(J733=TRUE(),E733,0)</f>
        <v>576028</v>
      </c>
      <c r="I733" s="7">
        <f>IF(K733=TRUE(),E733,0)</f>
        <v>0</v>
      </c>
      <c r="J733" t="b" s="4">
        <v>1</v>
      </c>
      <c r="K733" t="b" s="4">
        <v>0</v>
      </c>
    </row>
    <row r="734" ht="17" customHeight="1">
      <c r="A734" s="4">
        <v>632</v>
      </c>
      <c r="B734" s="5">
        <v>41334</v>
      </c>
      <c r="C734" t="s" s="3">
        <v>316</v>
      </c>
      <c r="D734" t="s" s="3">
        <v>70</v>
      </c>
      <c r="E734" s="6">
        <v>171301</v>
      </c>
      <c r="F734" s="6">
        <f>E734*0.19</f>
        <v>32547.19</v>
      </c>
      <c r="G734" s="6">
        <f>E734+F734</f>
        <v>203848.19</v>
      </c>
      <c r="H734" s="7">
        <f>IF(J734=TRUE(),E734,0)</f>
        <v>171301</v>
      </c>
      <c r="I734" s="7">
        <f>IF(K734=TRUE(),E734,0)</f>
        <v>0</v>
      </c>
      <c r="J734" t="b" s="4">
        <v>1</v>
      </c>
      <c r="K734" t="b" s="4">
        <v>0</v>
      </c>
    </row>
    <row r="735" ht="17" customHeight="1">
      <c r="A735" s="4">
        <v>633</v>
      </c>
      <c r="B735" s="5">
        <v>41334</v>
      </c>
      <c r="C735" t="s" s="3">
        <v>312</v>
      </c>
      <c r="D735" t="s" s="3">
        <v>70</v>
      </c>
      <c r="E735" s="6">
        <v>52532</v>
      </c>
      <c r="F735" s="6">
        <f>E735*0.19</f>
        <v>9981.08</v>
      </c>
      <c r="G735" s="6">
        <f>E735+F735</f>
        <v>62513.08</v>
      </c>
      <c r="H735" s="7">
        <f>IF(J735=TRUE(),E735,0)</f>
        <v>52532</v>
      </c>
      <c r="I735" s="7">
        <f>IF(K735=TRUE(),E735,0)</f>
        <v>0</v>
      </c>
      <c r="J735" t="b" s="4">
        <v>1</v>
      </c>
      <c r="K735" t="b" s="4">
        <v>0</v>
      </c>
    </row>
    <row r="736" ht="17" customHeight="1">
      <c r="A736" s="4">
        <v>634</v>
      </c>
      <c r="B736" s="5">
        <v>41334</v>
      </c>
      <c r="C736" t="s" s="3">
        <v>92</v>
      </c>
      <c r="D736" t="s" s="3">
        <v>32</v>
      </c>
      <c r="E736" s="6">
        <v>594000</v>
      </c>
      <c r="F736" s="6">
        <f>E736*0.19</f>
        <v>112860</v>
      </c>
      <c r="G736" s="6">
        <f>E736+F736</f>
        <v>706860</v>
      </c>
      <c r="H736" s="7">
        <f>IF(J736=TRUE(),E736,0)</f>
        <v>594000</v>
      </c>
      <c r="I736" s="7">
        <f>IF(K736=TRUE(),E736,0)</f>
        <v>0</v>
      </c>
      <c r="J736" t="b" s="4">
        <v>1</v>
      </c>
      <c r="K736" t="b" s="4">
        <v>0</v>
      </c>
    </row>
    <row r="737" ht="17" customHeight="1">
      <c r="A737" s="4">
        <v>635</v>
      </c>
      <c r="B737" s="5">
        <v>41334</v>
      </c>
      <c r="C737" t="s" s="3">
        <v>92</v>
      </c>
      <c r="D737" t="s" s="3">
        <v>52</v>
      </c>
      <c r="E737" s="6">
        <v>528000</v>
      </c>
      <c r="F737" s="6">
        <f>E737*0.19</f>
        <v>100320</v>
      </c>
      <c r="G737" s="6">
        <f>E737+F737</f>
        <v>628320</v>
      </c>
      <c r="H737" s="7">
        <f>IF(J737=TRUE(),E737,0)</f>
        <v>528000</v>
      </c>
      <c r="I737" s="7">
        <f>IF(K737=TRUE(),E737,0)</f>
        <v>0</v>
      </c>
      <c r="J737" t="b" s="4">
        <v>1</v>
      </c>
      <c r="K737" t="b" s="4">
        <v>0</v>
      </c>
    </row>
    <row r="738" ht="17" customHeight="1">
      <c r="A738" s="4">
        <v>636</v>
      </c>
      <c r="B738" s="5">
        <v>41334</v>
      </c>
      <c r="C738" t="s" s="3">
        <v>98</v>
      </c>
      <c r="D738" t="s" s="3">
        <v>23</v>
      </c>
      <c r="E738" s="6">
        <v>297000</v>
      </c>
      <c r="F738" s="6">
        <f>E738*0.19</f>
        <v>56430</v>
      </c>
      <c r="G738" s="6">
        <f>E738+F738</f>
        <v>353430</v>
      </c>
      <c r="H738" s="7">
        <f>IF(J738=TRUE(),E738,0)</f>
        <v>297000</v>
      </c>
      <c r="I738" s="7">
        <f>IF(K738=TRUE(),E738,0)</f>
        <v>0</v>
      </c>
      <c r="J738" t="b" s="4">
        <v>1</v>
      </c>
      <c r="K738" t="b" s="4">
        <v>0</v>
      </c>
    </row>
    <row r="739" ht="17" customHeight="1">
      <c r="A739" s="4">
        <v>637</v>
      </c>
      <c r="B739" s="5">
        <v>41334</v>
      </c>
      <c r="C739" t="s" s="3">
        <v>98</v>
      </c>
      <c r="D739" t="s" s="3">
        <v>32</v>
      </c>
      <c r="E739" s="6">
        <v>462000</v>
      </c>
      <c r="F739" s="6">
        <f>E739*0.19</f>
        <v>87780</v>
      </c>
      <c r="G739" s="6">
        <f>E739+F739</f>
        <v>549780</v>
      </c>
      <c r="H739" s="7">
        <f>IF(J739=TRUE(),E739,0)</f>
        <v>462000</v>
      </c>
      <c r="I739" s="7">
        <f>IF(K739=TRUE(),E739,0)</f>
        <v>0</v>
      </c>
      <c r="J739" t="b" s="4">
        <v>1</v>
      </c>
      <c r="K739" t="b" s="4">
        <v>0</v>
      </c>
    </row>
    <row r="740" ht="17.5" customHeight="1">
      <c r="A740" s="9">
        <v>638</v>
      </c>
      <c r="B740" s="5">
        <v>41334</v>
      </c>
      <c r="C740" t="s" s="10">
        <v>98</v>
      </c>
      <c r="D740" t="s" s="10">
        <v>52</v>
      </c>
      <c r="E740" s="11">
        <v>297000</v>
      </c>
      <c r="F740" s="11">
        <f>E740*0.19</f>
        <v>56430</v>
      </c>
      <c r="G740" s="11">
        <f>E740+F740</f>
        <v>353430</v>
      </c>
      <c r="H740" s="12">
        <f>IF(J740=TRUE(),E740,0)</f>
        <v>297000</v>
      </c>
      <c r="I740" s="12">
        <f>IF(K740=TRUE(),E740,0)</f>
        <v>0</v>
      </c>
      <c r="J740" t="b" s="9">
        <v>1</v>
      </c>
      <c r="K740" t="b" s="9">
        <v>0</v>
      </c>
    </row>
    <row r="741" ht="18" customHeight="1">
      <c r="A741" s="13">
        <v>28</v>
      </c>
      <c r="B741" t="s" s="3">
        <v>359</v>
      </c>
      <c r="C741" t="s" s="14">
        <v>7</v>
      </c>
      <c r="D741" s="14"/>
      <c r="E741" s="15">
        <f>SUM(E713:E740)</f>
        <v>10180602</v>
      </c>
      <c r="F741" s="15">
        <f>SUM(F713:F740)</f>
        <v>1934314.38</v>
      </c>
      <c r="G741" s="16">
        <f>SUM(G713:G740)</f>
        <v>12114916.38</v>
      </c>
      <c r="H741" s="17">
        <f>SUM(H713:H740)</f>
        <v>5517519</v>
      </c>
      <c r="I741" s="17"/>
      <c r="J741" s="18">
        <f>COUNTIF(J713:J740,TRUE())</f>
        <v>22</v>
      </c>
      <c r="K741" s="19"/>
    </row>
    <row r="742" ht="17.5" customHeight="1">
      <c r="A742" s="20"/>
      <c r="B742" s="5"/>
      <c r="C742" s="20"/>
      <c r="D742" s="21"/>
      <c r="E742" s="20"/>
      <c r="F742" s="20"/>
      <c r="G742" s="20"/>
      <c r="H742" s="22"/>
      <c r="I742" s="22"/>
      <c r="J742" s="20"/>
      <c r="K742" s="20"/>
    </row>
    <row r="743" ht="17" customHeight="1">
      <c r="A743" t="s" s="3">
        <v>1</v>
      </c>
      <c r="B743" t="s" s="3">
        <v>2</v>
      </c>
      <c r="C743" t="s" s="3">
        <v>3</v>
      </c>
      <c r="D743" t="s" s="3">
        <v>4</v>
      </c>
      <c r="E743" t="s" s="3">
        <v>5</v>
      </c>
      <c r="F743" t="s" s="3">
        <v>6</v>
      </c>
      <c r="G743" t="s" s="3">
        <v>7</v>
      </c>
      <c r="H743" s="7"/>
      <c r="I743" s="7"/>
      <c r="J743" s="8"/>
      <c r="K743" s="8"/>
    </row>
    <row r="744" ht="17" customHeight="1">
      <c r="A744" s="4">
        <v>639</v>
      </c>
      <c r="B744" s="5">
        <v>41365</v>
      </c>
      <c r="C744" t="s" s="3">
        <v>318</v>
      </c>
      <c r="D744" t="s" s="3">
        <v>360</v>
      </c>
      <c r="E744" s="6">
        <v>490000</v>
      </c>
      <c r="F744" s="6">
        <f>E744*0.19</f>
        <v>93100</v>
      </c>
      <c r="G744" s="6">
        <f>E744+F744</f>
        <v>583100</v>
      </c>
      <c r="H744" s="7">
        <f>IF(J744=TRUE(),E744,0)</f>
        <v>0</v>
      </c>
      <c r="I744" s="7">
        <f>IF(K744=TRUE(),E744,0)</f>
        <v>0</v>
      </c>
      <c r="J744" t="b" s="4">
        <v>0</v>
      </c>
      <c r="K744" t="b" s="4">
        <v>0</v>
      </c>
    </row>
    <row r="745" ht="17" customHeight="1">
      <c r="A745" s="4">
        <v>640</v>
      </c>
      <c r="B745" s="5">
        <v>41365</v>
      </c>
      <c r="C745" t="s" s="3">
        <v>40</v>
      </c>
      <c r="D745" t="s" s="3">
        <v>84</v>
      </c>
      <c r="E745" s="6">
        <v>158000</v>
      </c>
      <c r="F745" s="6">
        <f>E745*0.19</f>
        <v>30020</v>
      </c>
      <c r="G745" s="6">
        <f>E745+F745</f>
        <v>188020</v>
      </c>
      <c r="H745" s="7">
        <f>IF(J745=TRUE(),E745,0)</f>
        <v>158000</v>
      </c>
      <c r="I745" s="7">
        <f>IF(K745=TRUE(),E745,0)</f>
        <v>0</v>
      </c>
      <c r="J745" t="b" s="4">
        <v>1</v>
      </c>
      <c r="K745" t="b" s="4">
        <v>0</v>
      </c>
    </row>
    <row r="746" ht="17" customHeight="1">
      <c r="A746" s="4">
        <v>641</v>
      </c>
      <c r="B746" s="5">
        <v>41365</v>
      </c>
      <c r="C746" t="s" s="3">
        <v>22</v>
      </c>
      <c r="D746" t="s" s="3">
        <v>84</v>
      </c>
      <c r="E746" s="6">
        <v>159176</v>
      </c>
      <c r="F746" s="6">
        <f>E746*0.19</f>
        <v>30243.44</v>
      </c>
      <c r="G746" s="6">
        <f>E746+F746</f>
        <v>189419.44</v>
      </c>
      <c r="H746" s="7">
        <f>IF(J746=TRUE(),E746,0)</f>
        <v>159176</v>
      </c>
      <c r="I746" s="7">
        <f>IF(K746=TRUE(),E746,0)</f>
        <v>0</v>
      </c>
      <c r="J746" t="b" s="4">
        <v>1</v>
      </c>
      <c r="K746" t="b" s="4">
        <v>0</v>
      </c>
    </row>
    <row r="747" ht="17" customHeight="1">
      <c r="A747" s="4">
        <v>642</v>
      </c>
      <c r="B747" s="5">
        <v>41365</v>
      </c>
      <c r="C747" t="s" s="3">
        <v>66</v>
      </c>
      <c r="D747" t="s" s="3">
        <v>84</v>
      </c>
      <c r="E747" s="6">
        <v>139508</v>
      </c>
      <c r="F747" s="6">
        <f>E747*0.19</f>
        <v>26506.52</v>
      </c>
      <c r="G747" s="6">
        <f>E747+F747</f>
        <v>166014.52</v>
      </c>
      <c r="H747" s="7">
        <f>IF(J747=TRUE(),E747,0)</f>
        <v>139508</v>
      </c>
      <c r="I747" s="7">
        <f>IF(K747=TRUE(),E747,0)</f>
        <v>0</v>
      </c>
      <c r="J747" t="b" s="4">
        <v>1</v>
      </c>
      <c r="K747" t="b" s="4">
        <v>0</v>
      </c>
    </row>
    <row r="748" ht="17" customHeight="1">
      <c r="A748" s="4">
        <v>643</v>
      </c>
      <c r="B748" s="5">
        <v>41365</v>
      </c>
      <c r="C748" t="s" s="3">
        <v>268</v>
      </c>
      <c r="D748" t="s" s="3">
        <v>84</v>
      </c>
      <c r="E748" s="6">
        <v>51458</v>
      </c>
      <c r="F748" s="6">
        <f>E748*0.19</f>
        <v>9777.02</v>
      </c>
      <c r="G748" s="6">
        <f>E748+F748</f>
        <v>61235.02</v>
      </c>
      <c r="H748" s="7">
        <f>IF(J748=TRUE(),E748,0)</f>
        <v>51458</v>
      </c>
      <c r="I748" s="7">
        <f>IF(K748=TRUE(),E748,0)</f>
        <v>0</v>
      </c>
      <c r="J748" t="b" s="4">
        <v>1</v>
      </c>
      <c r="K748" t="b" s="4">
        <v>0</v>
      </c>
    </row>
    <row r="749" ht="17" customHeight="1">
      <c r="A749" s="4">
        <v>644</v>
      </c>
      <c r="B749" s="5">
        <v>41365</v>
      </c>
      <c r="C749" t="s" s="3">
        <v>361</v>
      </c>
      <c r="D749" t="s" s="3">
        <v>362</v>
      </c>
      <c r="E749" s="6">
        <v>90000</v>
      </c>
      <c r="F749" s="6">
        <f>E749*0.19</f>
        <v>17100</v>
      </c>
      <c r="G749" s="6">
        <f>E749+F749</f>
        <v>107100</v>
      </c>
      <c r="H749" s="7">
        <f>IF(J749=TRUE(),E749,0)</f>
        <v>0</v>
      </c>
      <c r="I749" s="7">
        <f>IF(K749=TRUE(),E749,0)</f>
        <v>0</v>
      </c>
      <c r="J749" t="b" s="4">
        <v>0</v>
      </c>
      <c r="K749" t="b" s="4">
        <v>0</v>
      </c>
    </row>
    <row r="750" ht="17" customHeight="1">
      <c r="A750" s="4">
        <v>645</v>
      </c>
      <c r="B750" s="5">
        <v>41365</v>
      </c>
      <c r="C750" t="s" s="3">
        <v>34</v>
      </c>
      <c r="D750" t="s" s="3">
        <v>84</v>
      </c>
      <c r="E750" s="6">
        <v>53516</v>
      </c>
      <c r="F750" s="6">
        <f>E750*0.19</f>
        <v>10168.04</v>
      </c>
      <c r="G750" s="6">
        <f>E750+F750</f>
        <v>63684.04</v>
      </c>
      <c r="H750" s="7">
        <f>IF(J750=TRUE(),E750,0)</f>
        <v>53516</v>
      </c>
      <c r="I750" s="7">
        <f>IF(K750=TRUE(),E750,0)</f>
        <v>0</v>
      </c>
      <c r="J750" t="b" s="4">
        <v>1</v>
      </c>
      <c r="K750" t="b" s="4">
        <v>0</v>
      </c>
    </row>
    <row r="751" ht="17" customHeight="1">
      <c r="A751" s="4">
        <v>646</v>
      </c>
      <c r="B751" s="5">
        <v>41365</v>
      </c>
      <c r="C751" t="s" s="3">
        <v>60</v>
      </c>
      <c r="D751" t="s" s="3">
        <v>84</v>
      </c>
      <c r="E751" s="6">
        <v>69525</v>
      </c>
      <c r="F751" s="6">
        <f>E751*0.19</f>
        <v>13209.75</v>
      </c>
      <c r="G751" s="6">
        <f>E751+F751</f>
        <v>82734.75</v>
      </c>
      <c r="H751" s="7">
        <f>IF(J751=TRUE(),E751,0)</f>
        <v>69525</v>
      </c>
      <c r="I751" s="7">
        <f>IF(K751=TRUE(),E751,0)</f>
        <v>0</v>
      </c>
      <c r="J751" t="b" s="4">
        <v>1</v>
      </c>
      <c r="K751" t="b" s="4">
        <v>0</v>
      </c>
    </row>
    <row r="752" ht="17" customHeight="1">
      <c r="A752" s="4">
        <v>647</v>
      </c>
      <c r="B752" s="5">
        <v>41365</v>
      </c>
      <c r="C752" t="s" s="3">
        <v>42</v>
      </c>
      <c r="D752" t="s" s="3">
        <v>84</v>
      </c>
      <c r="E752" s="6">
        <v>237620</v>
      </c>
      <c r="F752" s="6">
        <f>E752*0.19</f>
        <v>45147.8</v>
      </c>
      <c r="G752" s="6">
        <f>E752+F752</f>
        <v>282767.8</v>
      </c>
      <c r="H752" s="7">
        <f>IF(J752=TRUE(),E752,0)</f>
        <v>237620</v>
      </c>
      <c r="I752" s="7">
        <f>IF(K752=TRUE(),E752,0)</f>
        <v>0</v>
      </c>
      <c r="J752" t="b" s="4">
        <v>1</v>
      </c>
      <c r="K752" t="b" s="4">
        <v>0</v>
      </c>
    </row>
    <row r="753" ht="17" customHeight="1">
      <c r="A753" s="4">
        <v>648</v>
      </c>
      <c r="B753" s="5">
        <v>41365</v>
      </c>
      <c r="C753" t="s" s="3">
        <v>357</v>
      </c>
      <c r="D753" t="s" s="3">
        <v>84</v>
      </c>
      <c r="E753" s="6">
        <v>322469</v>
      </c>
      <c r="F753" s="6">
        <f>E753*0.19</f>
        <v>61269.11</v>
      </c>
      <c r="G753" s="6">
        <f>E753+F753</f>
        <v>383738.11</v>
      </c>
      <c r="H753" s="7">
        <f>IF(J753=TRUE(),E753,0)</f>
        <v>322469</v>
      </c>
      <c r="I753" s="7">
        <f>IF(K753=TRUE(),E753,0)</f>
        <v>0</v>
      </c>
      <c r="J753" t="b" s="4">
        <v>1</v>
      </c>
      <c r="K753" t="b" s="4">
        <v>0</v>
      </c>
    </row>
    <row r="754" ht="17" customHeight="1">
      <c r="A754" s="4">
        <v>649</v>
      </c>
      <c r="B754" s="5">
        <v>41365</v>
      </c>
      <c r="C754" t="s" s="3">
        <v>357</v>
      </c>
      <c r="D754" t="s" s="3">
        <v>363</v>
      </c>
      <c r="E754" s="6">
        <v>260000</v>
      </c>
      <c r="F754" s="6">
        <f>E754*0.19</f>
        <v>49400</v>
      </c>
      <c r="G754" s="6">
        <f>E754+F754</f>
        <v>309400</v>
      </c>
      <c r="H754" s="7">
        <f>IF(J754=TRUE(),E754,0)</f>
        <v>0</v>
      </c>
      <c r="I754" s="7">
        <f>IF(K754=TRUE(),E754,0)</f>
        <v>0</v>
      </c>
      <c r="J754" t="b" s="4">
        <v>0</v>
      </c>
      <c r="K754" t="b" s="4">
        <v>0</v>
      </c>
    </row>
    <row r="755" ht="17" customHeight="1">
      <c r="A755" s="4">
        <v>650</v>
      </c>
      <c r="B755" s="5">
        <v>41365</v>
      </c>
      <c r="C755" t="s" s="3">
        <v>120</v>
      </c>
      <c r="D755" t="s" s="3">
        <v>84</v>
      </c>
      <c r="E755" s="6">
        <v>472039</v>
      </c>
      <c r="F755" s="6">
        <f>E755*0.19</f>
        <v>89687.41</v>
      </c>
      <c r="G755" s="6">
        <f>E755+F755</f>
        <v>561726.41</v>
      </c>
      <c r="H755" s="7">
        <f>IF(J755=TRUE(),E755,0)</f>
        <v>472039</v>
      </c>
      <c r="I755" s="7">
        <f>IF(K755=TRUE(),E755,0)</f>
        <v>0</v>
      </c>
      <c r="J755" t="b" s="4">
        <v>1</v>
      </c>
      <c r="K755" t="b" s="4">
        <v>0</v>
      </c>
    </row>
    <row r="756" ht="17.5" customHeight="1">
      <c r="A756" s="9">
        <v>651</v>
      </c>
      <c r="B756" s="5">
        <v>41365</v>
      </c>
      <c r="C756" t="s" s="10">
        <v>127</v>
      </c>
      <c r="D756" t="s" s="10">
        <v>84</v>
      </c>
      <c r="E756" s="11">
        <v>576784</v>
      </c>
      <c r="F756" s="11">
        <f>E756*0.19</f>
        <v>109588.96</v>
      </c>
      <c r="G756" s="11">
        <f>E756+F756</f>
        <v>686372.96</v>
      </c>
      <c r="H756" s="12">
        <f>IF(J756=TRUE(),E756,0)</f>
        <v>576784</v>
      </c>
      <c r="I756" s="12">
        <f>IF(K756=TRUE(),E756,0)</f>
        <v>0</v>
      </c>
      <c r="J756" t="b" s="9">
        <v>1</v>
      </c>
      <c r="K756" t="b" s="9">
        <v>0</v>
      </c>
    </row>
    <row r="757" ht="18" customHeight="1">
      <c r="A757" s="13">
        <f>COUNT(A744:A756)</f>
        <v>13</v>
      </c>
      <c r="B757" t="s" s="3">
        <v>364</v>
      </c>
      <c r="C757" t="s" s="14">
        <v>7</v>
      </c>
      <c r="D757" s="14"/>
      <c r="E757" s="15">
        <f>SUM(E744:E756)</f>
        <v>3080095</v>
      </c>
      <c r="F757" s="15">
        <f>SUM(F744:F756)</f>
        <v>585218.0499999999</v>
      </c>
      <c r="G757" s="16">
        <f>SUM(G744:G756)</f>
        <v>3665313.05</v>
      </c>
      <c r="H757" s="17">
        <f>SUM(H744:H756)</f>
        <v>2240095</v>
      </c>
      <c r="I757" s="17"/>
      <c r="J757" s="18">
        <f>COUNTIF(J744:J756,TRUE())</f>
        <v>10</v>
      </c>
      <c r="K757" s="19"/>
    </row>
    <row r="758" ht="17.5" customHeight="1">
      <c r="A758" s="20"/>
      <c r="B758" s="5"/>
      <c r="C758" s="20"/>
      <c r="D758" s="21"/>
      <c r="E758" s="20"/>
      <c r="F758" s="20"/>
      <c r="G758" s="20"/>
      <c r="H758" s="22"/>
      <c r="I758" s="22"/>
      <c r="J758" s="20"/>
      <c r="K758" s="20"/>
    </row>
    <row r="759" ht="17" customHeight="1">
      <c r="A759" t="s" s="3">
        <v>1</v>
      </c>
      <c r="B759" t="s" s="3">
        <v>2</v>
      </c>
      <c r="C759" t="s" s="3">
        <v>3</v>
      </c>
      <c r="D759" t="s" s="3">
        <v>4</v>
      </c>
      <c r="E759" t="s" s="3">
        <v>5</v>
      </c>
      <c r="F759" t="s" s="3">
        <v>6</v>
      </c>
      <c r="G759" t="s" s="3">
        <v>7</v>
      </c>
      <c r="H759" s="7"/>
      <c r="I759" s="7"/>
      <c r="J759" s="8"/>
      <c r="K759" s="8"/>
    </row>
    <row r="760" ht="17" customHeight="1">
      <c r="A760" t="s" s="3">
        <v>365</v>
      </c>
      <c r="B760" s="5">
        <v>41424</v>
      </c>
      <c r="C760" t="s" s="3">
        <v>307</v>
      </c>
      <c r="D760" s="3"/>
      <c r="E760" s="6">
        <v>-620400</v>
      </c>
      <c r="F760" s="6">
        <f>E760*0.19</f>
        <v>-117876</v>
      </c>
      <c r="G760" s="6">
        <f>E760+F760</f>
        <v>-738276</v>
      </c>
      <c r="H760" s="7">
        <f>IF(J760=TRUE(),E760,0)</f>
        <v>0</v>
      </c>
      <c r="I760" s="7">
        <f>IF(K760=TRUE(),E760,0)</f>
        <v>0</v>
      </c>
      <c r="J760" t="b" s="4">
        <v>0</v>
      </c>
      <c r="K760" t="b" s="4">
        <v>0</v>
      </c>
    </row>
    <row r="761" ht="17" customHeight="1">
      <c r="A761" s="4">
        <v>652</v>
      </c>
      <c r="B761" s="5">
        <v>41424</v>
      </c>
      <c r="C761" t="s" s="3">
        <v>307</v>
      </c>
      <c r="D761" t="s" s="3">
        <v>366</v>
      </c>
      <c r="E761" s="6">
        <v>620400</v>
      </c>
      <c r="F761" s="6">
        <f>E761*0.19</f>
        <v>117876</v>
      </c>
      <c r="G761" s="6">
        <f>E761+F761</f>
        <v>738276</v>
      </c>
      <c r="H761" s="7">
        <f>IF(J761=TRUE(),E761,0)</f>
        <v>0</v>
      </c>
      <c r="I761" s="7">
        <f>IF(K761=TRUE(),E761,0)</f>
        <v>0</v>
      </c>
      <c r="J761" t="b" s="4">
        <v>0</v>
      </c>
      <c r="K761" t="b" s="4">
        <v>0</v>
      </c>
    </row>
    <row r="762" ht="17" customHeight="1">
      <c r="A762" s="4">
        <v>653</v>
      </c>
      <c r="B762" s="5">
        <v>41424</v>
      </c>
      <c r="C762" t="s" s="3">
        <v>307</v>
      </c>
      <c r="D762" t="s" s="3">
        <v>367</v>
      </c>
      <c r="E762" s="6">
        <v>601600</v>
      </c>
      <c r="F762" s="6">
        <f>E762*0.19</f>
        <v>114304</v>
      </c>
      <c r="G762" s="6">
        <f>E762+F762</f>
        <v>715904</v>
      </c>
      <c r="H762" s="7">
        <f>IF(J762=TRUE(),E762,0)</f>
        <v>0</v>
      </c>
      <c r="I762" s="7">
        <f>IF(K762=TRUE(),E762,0)</f>
        <v>0</v>
      </c>
      <c r="J762" t="b" s="4">
        <v>0</v>
      </c>
      <c r="K762" t="b" s="4">
        <v>0</v>
      </c>
    </row>
    <row r="763" ht="17" customHeight="1">
      <c r="A763" s="4">
        <v>655</v>
      </c>
      <c r="B763" s="5">
        <v>41424</v>
      </c>
      <c r="C763" t="s" s="3">
        <v>10</v>
      </c>
      <c r="D763" t="s" s="3">
        <v>368</v>
      </c>
      <c r="E763" s="6">
        <v>270920</v>
      </c>
      <c r="F763" s="6">
        <f>E763*0.19</f>
        <v>51474.8</v>
      </c>
      <c r="G763" s="6">
        <f>E763+F763</f>
        <v>322394.8</v>
      </c>
      <c r="H763" s="7">
        <f>IF(J763=TRUE(),E763,0)</f>
        <v>0</v>
      </c>
      <c r="I763" s="7">
        <f>IF(K763=TRUE(),E763,0)</f>
        <v>0</v>
      </c>
      <c r="J763" t="b" s="4">
        <v>0</v>
      </c>
      <c r="K763" t="b" s="4">
        <v>0</v>
      </c>
    </row>
    <row r="764" ht="17" customHeight="1">
      <c r="A764" s="4">
        <v>656</v>
      </c>
      <c r="B764" s="5">
        <v>41395</v>
      </c>
      <c r="C764" t="s" s="3">
        <v>316</v>
      </c>
      <c r="D764" t="s" s="3">
        <v>84</v>
      </c>
      <c r="E764" s="6">
        <v>171526</v>
      </c>
      <c r="F764" s="6">
        <f>E764*0.19</f>
        <v>32589.94</v>
      </c>
      <c r="G764" s="6">
        <f>E764+F764</f>
        <v>204115.94</v>
      </c>
      <c r="H764" s="7">
        <f>IF(J764=TRUE(),E764,0)</f>
        <v>171526</v>
      </c>
      <c r="I764" s="7">
        <f>IF(K764=TRUE(),E764,0)</f>
        <v>0</v>
      </c>
      <c r="J764" t="b" s="4">
        <v>1</v>
      </c>
      <c r="K764" t="b" s="4">
        <v>0</v>
      </c>
    </row>
    <row r="765" ht="17" customHeight="1">
      <c r="A765" s="4">
        <v>657</v>
      </c>
      <c r="B765" s="5">
        <v>41395</v>
      </c>
      <c r="C765" t="s" s="3">
        <v>316</v>
      </c>
      <c r="D765" t="s" s="3">
        <v>101</v>
      </c>
      <c r="E765" s="6">
        <v>172073</v>
      </c>
      <c r="F765" s="6">
        <f>E765*0.19</f>
        <v>32693.87</v>
      </c>
      <c r="G765" s="6">
        <f>E765+F765</f>
        <v>204766.87</v>
      </c>
      <c r="H765" s="7">
        <f>IF(J765=TRUE(),E765,0)</f>
        <v>172073</v>
      </c>
      <c r="I765" s="7">
        <f>IF(K765=TRUE(),E765,0)</f>
        <v>0</v>
      </c>
      <c r="J765" t="b" s="4">
        <v>1</v>
      </c>
      <c r="K765" t="b" s="4">
        <v>0</v>
      </c>
    </row>
    <row r="766" ht="17" customHeight="1">
      <c r="A766" s="4">
        <v>658</v>
      </c>
      <c r="B766" s="5">
        <v>41395</v>
      </c>
      <c r="C766" t="s" s="3">
        <v>40</v>
      </c>
      <c r="D766" t="s" s="3">
        <v>101</v>
      </c>
      <c r="E766" s="6">
        <v>158000</v>
      </c>
      <c r="F766" s="6">
        <f>E766*0.19</f>
        <v>30020</v>
      </c>
      <c r="G766" s="6">
        <f>E766+F766</f>
        <v>188020</v>
      </c>
      <c r="H766" s="7">
        <f>IF(J766=TRUE(),E766,0)</f>
        <v>158000</v>
      </c>
      <c r="I766" s="7">
        <f>IF(K766=TRUE(),E766,0)</f>
        <v>0</v>
      </c>
      <c r="J766" t="b" s="4">
        <v>1</v>
      </c>
      <c r="K766" t="b" s="4">
        <v>0</v>
      </c>
    </row>
    <row r="767" ht="17" customHeight="1">
      <c r="A767" s="4">
        <v>659</v>
      </c>
      <c r="B767" s="5">
        <v>41395</v>
      </c>
      <c r="C767" t="s" s="3">
        <v>22</v>
      </c>
      <c r="D767" t="s" s="3">
        <v>101</v>
      </c>
      <c r="E767" s="6">
        <v>159684</v>
      </c>
      <c r="F767" s="6">
        <f>E767*0.19</f>
        <v>30339.96</v>
      </c>
      <c r="G767" s="6">
        <f>E767+F767</f>
        <v>190023.96</v>
      </c>
      <c r="H767" s="7">
        <f>IF(J767=TRUE(),E767,0)</f>
        <v>159684</v>
      </c>
      <c r="I767" s="7">
        <f>IF(K767=TRUE(),E767,0)</f>
        <v>0</v>
      </c>
      <c r="J767" t="b" s="4">
        <v>1</v>
      </c>
      <c r="K767" t="b" s="4">
        <v>0</v>
      </c>
    </row>
    <row r="768" ht="17" customHeight="1">
      <c r="A768" s="4">
        <v>660</v>
      </c>
      <c r="B768" s="5">
        <v>41395</v>
      </c>
      <c r="C768" t="s" s="3">
        <v>66</v>
      </c>
      <c r="D768" t="s" s="3">
        <v>101</v>
      </c>
      <c r="E768" s="6">
        <v>139953</v>
      </c>
      <c r="F768" s="6">
        <f>E768*0.19</f>
        <v>26591.07</v>
      </c>
      <c r="G768" s="6">
        <f>E768+F768</f>
        <v>166544.07</v>
      </c>
      <c r="H768" s="7">
        <f>IF(J768=TRUE(),E768,0)</f>
        <v>139953</v>
      </c>
      <c r="I768" s="7">
        <f>IF(K768=TRUE(),E768,0)</f>
        <v>0</v>
      </c>
      <c r="J768" t="b" s="4">
        <v>1</v>
      </c>
      <c r="K768" t="b" s="4">
        <v>0</v>
      </c>
    </row>
    <row r="769" ht="17" customHeight="1">
      <c r="A769" s="4">
        <v>661</v>
      </c>
      <c r="B769" s="5">
        <v>41395</v>
      </c>
      <c r="C769" t="s" s="3">
        <v>268</v>
      </c>
      <c r="D769" t="s" s="3">
        <v>101</v>
      </c>
      <c r="E769" s="6">
        <v>51622</v>
      </c>
      <c r="F769" s="6">
        <f>E769*0.19</f>
        <v>9808.18</v>
      </c>
      <c r="G769" s="6">
        <f>E769+F769</f>
        <v>61430.18</v>
      </c>
      <c r="H769" s="7">
        <f>IF(J769=TRUE(),E769,0)</f>
        <v>51622</v>
      </c>
      <c r="I769" s="7">
        <f>IF(K769=TRUE(),E769,0)</f>
        <v>0</v>
      </c>
      <c r="J769" t="b" s="4">
        <v>1</v>
      </c>
      <c r="K769" t="b" s="4">
        <v>0</v>
      </c>
    </row>
    <row r="770" ht="17" customHeight="1">
      <c r="A770" s="4">
        <v>662</v>
      </c>
      <c r="B770" s="5">
        <v>41395</v>
      </c>
      <c r="C770" t="s" s="3">
        <v>34</v>
      </c>
      <c r="D770" t="s" s="3">
        <v>101</v>
      </c>
      <c r="E770" s="6">
        <v>53687</v>
      </c>
      <c r="F770" s="6">
        <f>E770*0.19</f>
        <v>10200.53</v>
      </c>
      <c r="G770" s="6">
        <f>E770+F770</f>
        <v>63887.53</v>
      </c>
      <c r="H770" s="7">
        <f>IF(J770=TRUE(),E770,0)</f>
        <v>53687</v>
      </c>
      <c r="I770" s="7">
        <f>IF(K770=TRUE(),E770,0)</f>
        <v>0</v>
      </c>
      <c r="J770" t="b" s="4">
        <v>1</v>
      </c>
      <c r="K770" t="b" s="4">
        <v>0</v>
      </c>
    </row>
    <row r="771" ht="17" customHeight="1">
      <c r="A771" s="4">
        <v>663</v>
      </c>
      <c r="B771" s="5">
        <v>41395</v>
      </c>
      <c r="C771" t="s" s="3">
        <v>60</v>
      </c>
      <c r="D771" t="s" s="3">
        <v>101</v>
      </c>
      <c r="E771" s="6">
        <v>69747</v>
      </c>
      <c r="F771" s="6">
        <f>E771*0.19</f>
        <v>13251.93</v>
      </c>
      <c r="G771" s="6">
        <f>E771+F771</f>
        <v>82998.929999999993</v>
      </c>
      <c r="H771" s="7">
        <f>IF(J771=TRUE(),E771,0)</f>
        <v>69747</v>
      </c>
      <c r="I771" s="7">
        <f>IF(K771=TRUE(),E771,0)</f>
        <v>0</v>
      </c>
      <c r="J771" t="b" s="4">
        <v>1</v>
      </c>
      <c r="K771" t="b" s="4">
        <v>0</v>
      </c>
    </row>
    <row r="772" ht="17" customHeight="1">
      <c r="A772" s="4">
        <v>664</v>
      </c>
      <c r="B772" s="5">
        <v>41395</v>
      </c>
      <c r="C772" t="s" s="3">
        <v>42</v>
      </c>
      <c r="D772" t="s" s="3">
        <v>101</v>
      </c>
      <c r="E772" s="6">
        <v>238379</v>
      </c>
      <c r="F772" s="6">
        <f>E772*0.19</f>
        <v>45292.01</v>
      </c>
      <c r="G772" s="6">
        <f>E772+F772</f>
        <v>283671.01</v>
      </c>
      <c r="H772" s="7">
        <f>IF(J772=TRUE(),E772,0)</f>
        <v>238379</v>
      </c>
      <c r="I772" s="7">
        <f>IF(K772=TRUE(),E772,0)</f>
        <v>0</v>
      </c>
      <c r="J772" t="b" s="4">
        <v>1</v>
      </c>
      <c r="K772" t="b" s="4">
        <v>0</v>
      </c>
    </row>
    <row r="773" ht="17" customHeight="1">
      <c r="A773" s="4">
        <v>665</v>
      </c>
      <c r="B773" s="5">
        <v>41395</v>
      </c>
      <c r="C773" t="s" s="3">
        <v>357</v>
      </c>
      <c r="D773" t="s" s="3">
        <v>101</v>
      </c>
      <c r="E773" s="6">
        <v>323497</v>
      </c>
      <c r="F773" s="6">
        <f>E773*0.19</f>
        <v>61464.43</v>
      </c>
      <c r="G773" s="6">
        <f>E773+F773</f>
        <v>384961.43</v>
      </c>
      <c r="H773" s="7">
        <f>IF(J773=TRUE(),E773,0)</f>
        <v>323497</v>
      </c>
      <c r="I773" s="7">
        <f>IF(K773=TRUE(),E773,0)</f>
        <v>0</v>
      </c>
      <c r="J773" t="b" s="4">
        <v>1</v>
      </c>
      <c r="K773" t="b" s="4">
        <v>0</v>
      </c>
    </row>
    <row r="774" ht="17" customHeight="1">
      <c r="A774" s="4">
        <v>666</v>
      </c>
      <c r="B774" s="5">
        <v>41395</v>
      </c>
      <c r="C774" t="s" s="3">
        <v>120</v>
      </c>
      <c r="D774" t="s" s="3">
        <v>101</v>
      </c>
      <c r="E774" s="6">
        <v>473545</v>
      </c>
      <c r="F774" s="6">
        <f>E774*0.19</f>
        <v>89973.55</v>
      </c>
      <c r="G774" s="6">
        <f>E774+F774</f>
        <v>563518.55</v>
      </c>
      <c r="H774" s="7">
        <f>IF(J774=TRUE(),E774,0)</f>
        <v>473545</v>
      </c>
      <c r="I774" s="7">
        <f>IF(K774=TRUE(),E774,0)</f>
        <v>0</v>
      </c>
      <c r="J774" t="b" s="4">
        <v>1</v>
      </c>
      <c r="K774" t="b" s="4">
        <v>0</v>
      </c>
    </row>
    <row r="775" ht="17" customHeight="1">
      <c r="A775" s="4">
        <v>667</v>
      </c>
      <c r="B775" s="5">
        <v>41395</v>
      </c>
      <c r="C775" t="s" s="3">
        <v>127</v>
      </c>
      <c r="D775" t="s" s="3">
        <v>101</v>
      </c>
      <c r="E775" s="6">
        <v>578624</v>
      </c>
      <c r="F775" s="6">
        <f>E775*0.19</f>
        <v>109938.56</v>
      </c>
      <c r="G775" s="6">
        <f>E775+F775</f>
        <v>688562.5600000001</v>
      </c>
      <c r="H775" s="7">
        <f>IF(J775=TRUE(),E775,0)</f>
        <v>578624</v>
      </c>
      <c r="I775" s="7">
        <f>IF(K775=TRUE(),E775,0)</f>
        <v>0</v>
      </c>
      <c r="J775" t="b" s="4">
        <v>1</v>
      </c>
      <c r="K775" t="b" s="4">
        <v>0</v>
      </c>
    </row>
    <row r="776" ht="17" customHeight="1">
      <c r="A776" s="4">
        <v>668</v>
      </c>
      <c r="B776" s="5">
        <v>41395</v>
      </c>
      <c r="C776" t="s" s="3">
        <v>230</v>
      </c>
      <c r="D776" t="s" s="3">
        <v>84</v>
      </c>
      <c r="E776" s="6">
        <v>22870</v>
      </c>
      <c r="F776" s="6">
        <f>E776*0.19</f>
        <v>4345.3</v>
      </c>
      <c r="G776" s="6">
        <f>E776+F776</f>
        <v>27215.3</v>
      </c>
      <c r="H776" s="7">
        <f>IF(J776=TRUE(),E776,0)</f>
        <v>22870</v>
      </c>
      <c r="I776" s="7">
        <f>IF(K776=TRUE(),E776,0)</f>
        <v>0</v>
      </c>
      <c r="J776" t="b" s="4">
        <v>1</v>
      </c>
      <c r="K776" t="b" s="4">
        <v>0</v>
      </c>
    </row>
    <row r="777" ht="17" customHeight="1">
      <c r="A777" s="4">
        <v>669</v>
      </c>
      <c r="B777" s="5">
        <v>41395</v>
      </c>
      <c r="C777" t="s" s="3">
        <v>230</v>
      </c>
      <c r="D777" t="s" s="3">
        <v>101</v>
      </c>
      <c r="E777" s="6">
        <v>229431</v>
      </c>
      <c r="F777" s="6">
        <f>E777*0.19</f>
        <v>43591.89</v>
      </c>
      <c r="G777" s="6">
        <f>E777+F777</f>
        <v>273022.89</v>
      </c>
      <c r="H777" s="7">
        <f>IF(J777=TRUE(),E777,0)</f>
        <v>229431</v>
      </c>
      <c r="I777" s="7">
        <f>IF(K777=TRUE(),E777,0)</f>
        <v>0</v>
      </c>
      <c r="J777" t="b" s="4">
        <v>1</v>
      </c>
      <c r="K777" t="b" s="4">
        <v>0</v>
      </c>
    </row>
    <row r="778" ht="17" customHeight="1">
      <c r="A778" s="4">
        <v>670</v>
      </c>
      <c r="B778" s="5">
        <v>41395</v>
      </c>
      <c r="C778" t="s" s="3">
        <v>312</v>
      </c>
      <c r="D778" t="s" s="3">
        <v>84</v>
      </c>
      <c r="E778" s="6">
        <v>52601</v>
      </c>
      <c r="F778" s="6">
        <f>E778*0.19</f>
        <v>9994.190000000001</v>
      </c>
      <c r="G778" s="6">
        <f>E778+F778</f>
        <v>62595.19</v>
      </c>
      <c r="H778" s="7">
        <f>IF(J778=TRUE(),E778,0)</f>
        <v>52601</v>
      </c>
      <c r="I778" s="7">
        <f>IF(K778=TRUE(),E778,0)</f>
        <v>0</v>
      </c>
      <c r="J778" t="b" s="4">
        <v>1</v>
      </c>
      <c r="K778" t="b" s="4">
        <v>0</v>
      </c>
    </row>
    <row r="779" ht="17" customHeight="1">
      <c r="A779" s="4">
        <v>671</v>
      </c>
      <c r="B779" s="5">
        <v>41395</v>
      </c>
      <c r="C779" t="s" s="3">
        <v>312</v>
      </c>
      <c r="D779" t="s" s="3">
        <v>101</v>
      </c>
      <c r="E779" s="6">
        <v>52769</v>
      </c>
      <c r="F779" s="6">
        <f>E779*0.19</f>
        <v>10026.11</v>
      </c>
      <c r="G779" s="6">
        <f>E779+F779</f>
        <v>62795.11</v>
      </c>
      <c r="H779" s="7">
        <f>IF(J779=TRUE(),E779,0)</f>
        <v>52769</v>
      </c>
      <c r="I779" s="7">
        <f>IF(K779=TRUE(),E779,0)</f>
        <v>0</v>
      </c>
      <c r="J779" t="b" s="4">
        <v>1</v>
      </c>
      <c r="K779" t="b" s="4">
        <v>0</v>
      </c>
    </row>
    <row r="780" ht="17" customHeight="1">
      <c r="A780" s="4">
        <v>672</v>
      </c>
      <c r="B780" s="5">
        <v>41395</v>
      </c>
      <c r="C780" t="s" s="3">
        <v>216</v>
      </c>
      <c r="D780" t="s" s="3">
        <v>84</v>
      </c>
      <c r="E780" s="6">
        <v>249742</v>
      </c>
      <c r="F780" s="6">
        <f>E780*0.19</f>
        <v>47450.98</v>
      </c>
      <c r="G780" s="6">
        <f>E780+F780</f>
        <v>297192.98</v>
      </c>
      <c r="H780" s="7">
        <f>IF(J780=TRUE(),E780,0)</f>
        <v>249742</v>
      </c>
      <c r="I780" s="7">
        <f>IF(K780=TRUE(),E780,0)</f>
        <v>0</v>
      </c>
      <c r="J780" t="b" s="4">
        <v>1</v>
      </c>
      <c r="K780" t="b" s="4">
        <v>0</v>
      </c>
    </row>
    <row r="781" ht="17" customHeight="1">
      <c r="A781" s="4">
        <v>673</v>
      </c>
      <c r="B781" s="5">
        <v>41395</v>
      </c>
      <c r="C781" t="s" s="3">
        <v>216</v>
      </c>
      <c r="D781" t="s" s="3">
        <v>101</v>
      </c>
      <c r="E781" s="6">
        <v>250538</v>
      </c>
      <c r="F781" s="6">
        <f>E781*0.19</f>
        <v>47602.22</v>
      </c>
      <c r="G781" s="6">
        <f>E781+F781</f>
        <v>298140.22</v>
      </c>
      <c r="H781" s="7">
        <f>IF(J781=TRUE(),E781,0)</f>
        <v>250538</v>
      </c>
      <c r="I781" s="7">
        <f>IF(K781=TRUE(),E781,0)</f>
        <v>0</v>
      </c>
      <c r="J781" t="b" s="4">
        <v>1</v>
      </c>
      <c r="K781" t="b" s="4">
        <v>0</v>
      </c>
    </row>
    <row r="782" ht="17" customHeight="1">
      <c r="A782" s="4">
        <v>674</v>
      </c>
      <c r="B782" s="5">
        <v>41395</v>
      </c>
      <c r="C782" t="s" s="3">
        <v>183</v>
      </c>
      <c r="D782" t="s" s="3">
        <v>84</v>
      </c>
      <c r="E782" s="6">
        <v>67238</v>
      </c>
      <c r="F782" s="6">
        <f>E782*0.19</f>
        <v>12775.22</v>
      </c>
      <c r="G782" s="6">
        <f>E782+F782</f>
        <v>80013.22</v>
      </c>
      <c r="H782" s="7">
        <f>IF(J782=TRUE(),E782,0)</f>
        <v>67238</v>
      </c>
      <c r="I782" s="7">
        <f>IF(K782=TRUE(),E782,0)</f>
        <v>0</v>
      </c>
      <c r="J782" t="b" s="4">
        <v>1</v>
      </c>
      <c r="K782" t="b" s="4">
        <v>0</v>
      </c>
    </row>
    <row r="783" ht="17" customHeight="1">
      <c r="A783" s="4">
        <v>675</v>
      </c>
      <c r="B783" s="5">
        <v>41395</v>
      </c>
      <c r="C783" t="s" s="3">
        <v>183</v>
      </c>
      <c r="D783" t="s" s="3">
        <v>101</v>
      </c>
      <c r="E783" s="6">
        <v>67453</v>
      </c>
      <c r="F783" s="6">
        <f>E783*0.19</f>
        <v>12816.07</v>
      </c>
      <c r="G783" s="6">
        <f>E783+F783</f>
        <v>80269.070000000007</v>
      </c>
      <c r="H783" s="7">
        <f>IF(J783=TRUE(),E783,0)</f>
        <v>67453</v>
      </c>
      <c r="I783" s="7">
        <f>IF(K783=TRUE(),E783,0)</f>
        <v>0</v>
      </c>
      <c r="J783" t="b" s="4">
        <v>1</v>
      </c>
      <c r="K783" t="b" s="4">
        <v>0</v>
      </c>
    </row>
    <row r="784" ht="17.5" customHeight="1">
      <c r="A784" s="9">
        <v>677</v>
      </c>
      <c r="B784" s="5">
        <v>41395</v>
      </c>
      <c r="C784" t="s" s="10">
        <v>26</v>
      </c>
      <c r="D784" t="s" s="10">
        <v>101</v>
      </c>
      <c r="E784" s="11">
        <v>424676</v>
      </c>
      <c r="F784" s="11">
        <f>E784*0.19</f>
        <v>80688.44</v>
      </c>
      <c r="G784" s="11">
        <f>E784+F784</f>
        <v>505364.44</v>
      </c>
      <c r="H784" s="12">
        <f>IF(J784=TRUE(),E784,0)</f>
        <v>424676</v>
      </c>
      <c r="I784" s="12">
        <f>IF(K784=TRUE(),E784,0)</f>
        <v>0</v>
      </c>
      <c r="J784" t="b" s="9">
        <v>1</v>
      </c>
      <c r="K784" t="b" s="9">
        <v>0</v>
      </c>
    </row>
    <row r="785" ht="18" customHeight="1">
      <c r="A785" s="13">
        <v>25</v>
      </c>
      <c r="B785" t="s" s="3">
        <v>369</v>
      </c>
      <c r="C785" t="s" s="14">
        <v>7</v>
      </c>
      <c r="D785" s="14"/>
      <c r="E785" s="15">
        <f>SUM(E760:E784)</f>
        <v>4880175</v>
      </c>
      <c r="F785" s="15">
        <f>SUM(F760:F784)</f>
        <v>927233.25</v>
      </c>
      <c r="G785" s="16">
        <f>SUM(G760:G784)</f>
        <v>5807408.250000001</v>
      </c>
      <c r="H785" s="17">
        <f>SUM(H760:H784)</f>
        <v>4007655</v>
      </c>
      <c r="I785" s="17"/>
      <c r="J785" s="18">
        <f>COUNTIF(J760:J784,TRUE())</f>
        <v>21</v>
      </c>
      <c r="K785" s="19"/>
    </row>
    <row r="786" ht="17.5" customHeight="1">
      <c r="A786" s="20"/>
      <c r="B786" s="5"/>
      <c r="C786" s="20"/>
      <c r="D786" s="21"/>
      <c r="E786" s="20"/>
      <c r="F786" s="20"/>
      <c r="G786" s="20"/>
      <c r="H786" s="22"/>
      <c r="I786" s="22"/>
      <c r="J786" s="20"/>
      <c r="K786" s="20"/>
    </row>
    <row r="787" ht="17" customHeight="1">
      <c r="A787" t="s" s="3">
        <v>1</v>
      </c>
      <c r="B787" t="s" s="3">
        <v>2</v>
      </c>
      <c r="C787" t="s" s="3">
        <v>3</v>
      </c>
      <c r="D787" t="s" s="3">
        <v>4</v>
      </c>
      <c r="E787" t="s" s="3">
        <v>5</v>
      </c>
      <c r="F787" t="s" s="3">
        <v>6</v>
      </c>
      <c r="G787" t="s" s="3">
        <v>7</v>
      </c>
      <c r="H787" s="7"/>
      <c r="I787" s="7"/>
      <c r="J787" s="8"/>
      <c r="K787" s="8"/>
    </row>
    <row r="788" ht="17" customHeight="1">
      <c r="A788" t="s" s="3">
        <v>370</v>
      </c>
      <c r="B788" s="5">
        <v>41436</v>
      </c>
      <c r="C788" t="s" s="3">
        <v>120</v>
      </c>
      <c r="D788" t="s" s="3">
        <v>101</v>
      </c>
      <c r="E788" s="6">
        <v>-473545</v>
      </c>
      <c r="F788" s="6">
        <f>E788*0.19</f>
        <v>-89973.55</v>
      </c>
      <c r="G788" s="6">
        <f>E788+F788</f>
        <v>-563518.55</v>
      </c>
      <c r="H788" s="7">
        <f>IF(J788=TRUE(),E788,0)</f>
        <v>-473545</v>
      </c>
      <c r="I788" s="7">
        <f>IF(K788=TRUE(),E788,0)</f>
        <v>0</v>
      </c>
      <c r="J788" t="b" s="4">
        <v>1</v>
      </c>
      <c r="K788" t="b" s="4">
        <v>0</v>
      </c>
    </row>
    <row r="789" ht="17" customHeight="1">
      <c r="A789" s="4">
        <v>676</v>
      </c>
      <c r="B789" s="5">
        <v>41395</v>
      </c>
      <c r="C789" t="s" s="3">
        <v>183</v>
      </c>
      <c r="D789" t="s" s="3">
        <v>371</v>
      </c>
      <c r="E789" s="6">
        <v>4777850</v>
      </c>
      <c r="F789" s="6">
        <f>E789*0.19</f>
        <v>907791.5</v>
      </c>
      <c r="G789" s="6">
        <f>E789+F789</f>
        <v>5685641.5</v>
      </c>
      <c r="H789" s="7">
        <f>IF(J789=TRUE(),E789,0)</f>
        <v>0</v>
      </c>
      <c r="I789" s="7">
        <f>IF(K789=TRUE(),E789,0)</f>
        <v>0</v>
      </c>
      <c r="J789" t="b" s="4">
        <v>0</v>
      </c>
      <c r="K789" t="b" s="4">
        <v>0</v>
      </c>
    </row>
    <row r="790" ht="17" customHeight="1">
      <c r="A790" s="4">
        <v>678</v>
      </c>
      <c r="B790" s="5">
        <v>41426</v>
      </c>
      <c r="C790" t="s" s="3">
        <v>42</v>
      </c>
      <c r="D790" t="s" s="3">
        <v>372</v>
      </c>
      <c r="E790" s="6">
        <v>717000</v>
      </c>
      <c r="F790" s="6">
        <f>E790*0.19</f>
        <v>136230</v>
      </c>
      <c r="G790" s="6">
        <f>E790+F790</f>
        <v>853230</v>
      </c>
      <c r="H790" s="7">
        <f>IF(J790=TRUE(),E790,0)</f>
        <v>0</v>
      </c>
      <c r="I790" s="7">
        <f>IF(K790=TRUE(),E790,0)</f>
        <v>0</v>
      </c>
      <c r="J790" t="b" s="4">
        <v>0</v>
      </c>
      <c r="K790" t="b" s="4">
        <v>0</v>
      </c>
    </row>
    <row r="791" ht="17" customHeight="1">
      <c r="A791" s="4">
        <v>679</v>
      </c>
      <c r="B791" s="5">
        <v>41426</v>
      </c>
      <c r="C791" t="s" s="3">
        <v>66</v>
      </c>
      <c r="D791" t="s" s="3">
        <v>122</v>
      </c>
      <c r="E791" s="6">
        <v>139582</v>
      </c>
      <c r="F791" s="6">
        <f>E791*0.19</f>
        <v>26520.58</v>
      </c>
      <c r="G791" s="6">
        <f>E791+F791</f>
        <v>166102.58</v>
      </c>
      <c r="H791" s="7">
        <f>IF(J791=TRUE(),E791,0)</f>
        <v>139582</v>
      </c>
      <c r="I791" s="7">
        <f>IF(K791=TRUE(),E791,0)</f>
        <v>0</v>
      </c>
      <c r="J791" t="b" s="4">
        <v>1</v>
      </c>
      <c r="K791" t="b" s="4">
        <v>0</v>
      </c>
    </row>
    <row r="792" ht="17" customHeight="1">
      <c r="A792" s="4">
        <v>680</v>
      </c>
      <c r="B792" s="5">
        <v>41426</v>
      </c>
      <c r="C792" t="s" s="3">
        <v>40</v>
      </c>
      <c r="D792" t="s" s="3">
        <v>122</v>
      </c>
      <c r="E792" s="6">
        <v>158000</v>
      </c>
      <c r="F792" s="6">
        <f>E792*0.19</f>
        <v>30020</v>
      </c>
      <c r="G792" s="6">
        <f>E792+F792</f>
        <v>188020</v>
      </c>
      <c r="H792" s="7">
        <f>IF(J792=TRUE(),E792,0)</f>
        <v>158000</v>
      </c>
      <c r="I792" s="7">
        <f>IF(K792=TRUE(),E792,0)</f>
        <v>0</v>
      </c>
      <c r="J792" t="b" s="4">
        <v>1</v>
      </c>
      <c r="K792" t="b" s="4">
        <v>0</v>
      </c>
    </row>
    <row r="793" ht="17" customHeight="1">
      <c r="A793" s="4">
        <v>681</v>
      </c>
      <c r="B793" s="5">
        <v>41426</v>
      </c>
      <c r="C793" t="s" s="3">
        <v>22</v>
      </c>
      <c r="D793" t="s" s="3">
        <v>122</v>
      </c>
      <c r="E793" s="6">
        <v>159260</v>
      </c>
      <c r="F793" s="6">
        <f>E793*0.19</f>
        <v>30259.4</v>
      </c>
      <c r="G793" s="6">
        <f>E793+F793</f>
        <v>189519.4</v>
      </c>
      <c r="H793" s="7">
        <f>IF(J793=TRUE(),E793,0)</f>
        <v>159260</v>
      </c>
      <c r="I793" s="7">
        <f>IF(K793=TRUE(),E793,0)</f>
        <v>0</v>
      </c>
      <c r="J793" t="b" s="4">
        <v>1</v>
      </c>
      <c r="K793" t="b" s="4">
        <v>0</v>
      </c>
    </row>
    <row r="794" ht="17" customHeight="1">
      <c r="A794" s="4">
        <v>682</v>
      </c>
      <c r="B794" s="5">
        <v>41426</v>
      </c>
      <c r="C794" t="s" s="3">
        <v>268</v>
      </c>
      <c r="D794" t="s" s="3">
        <v>122</v>
      </c>
      <c r="E794" s="6">
        <v>51485</v>
      </c>
      <c r="F794" s="6">
        <f>E794*0.19</f>
        <v>9782.15</v>
      </c>
      <c r="G794" s="6">
        <f>E794+F794</f>
        <v>61267.15</v>
      </c>
      <c r="H794" s="7">
        <f>IF(J794=TRUE(),E794,0)</f>
        <v>51485</v>
      </c>
      <c r="I794" s="7">
        <f>IF(K794=TRUE(),E794,0)</f>
        <v>0</v>
      </c>
      <c r="J794" t="b" s="4">
        <v>1</v>
      </c>
      <c r="K794" t="b" s="4">
        <v>0</v>
      </c>
    </row>
    <row r="795" ht="17" customHeight="1">
      <c r="A795" s="4">
        <v>683</v>
      </c>
      <c r="B795" s="5">
        <v>41426</v>
      </c>
      <c r="C795" t="s" s="3">
        <v>34</v>
      </c>
      <c r="D795" t="s" s="3">
        <v>122</v>
      </c>
      <c r="E795" s="6">
        <v>53544</v>
      </c>
      <c r="F795" s="6">
        <f>E795*0.19</f>
        <v>10173.36</v>
      </c>
      <c r="G795" s="6">
        <f>E795+F795</f>
        <v>63717.36</v>
      </c>
      <c r="H795" s="7">
        <f>IF(J795=TRUE(),E795,0)</f>
        <v>53544</v>
      </c>
      <c r="I795" s="7">
        <f>IF(K795=TRUE(),E795,0)</f>
        <v>0</v>
      </c>
      <c r="J795" t="b" s="4">
        <v>1</v>
      </c>
      <c r="K795" t="b" s="4">
        <v>0</v>
      </c>
    </row>
    <row r="796" ht="17" customHeight="1">
      <c r="A796" s="4">
        <v>684</v>
      </c>
      <c r="B796" s="5">
        <v>41426</v>
      </c>
      <c r="C796" t="s" s="3">
        <v>60</v>
      </c>
      <c r="D796" t="s" s="3">
        <v>122</v>
      </c>
      <c r="E796" s="6">
        <v>69562</v>
      </c>
      <c r="F796" s="6">
        <f>E796*0.19</f>
        <v>13216.78</v>
      </c>
      <c r="G796" s="6">
        <f>E796+F796</f>
        <v>82778.78</v>
      </c>
      <c r="H796" s="7">
        <f>IF(J796=TRUE(),E796,0)</f>
        <v>69562</v>
      </c>
      <c r="I796" s="7">
        <f>IF(K796=TRUE(),E796,0)</f>
        <v>0</v>
      </c>
      <c r="J796" t="b" s="4">
        <v>1</v>
      </c>
      <c r="K796" t="b" s="4">
        <v>0</v>
      </c>
    </row>
    <row r="797" ht="17" customHeight="1">
      <c r="A797" s="4">
        <v>685</v>
      </c>
      <c r="B797" s="5">
        <v>41426</v>
      </c>
      <c r="C797" t="s" s="3">
        <v>42</v>
      </c>
      <c r="D797" t="s" s="3">
        <v>122</v>
      </c>
      <c r="E797" s="6">
        <v>237747</v>
      </c>
      <c r="F797" s="6">
        <f>E797*0.19</f>
        <v>45171.93</v>
      </c>
      <c r="G797" s="6">
        <f>E797+F797</f>
        <v>282918.93</v>
      </c>
      <c r="H797" s="7">
        <f>IF(J797=TRUE(),E797,0)</f>
        <v>237747</v>
      </c>
      <c r="I797" s="7">
        <f>IF(K797=TRUE(),E797,0)</f>
        <v>0</v>
      </c>
      <c r="J797" t="b" s="4">
        <v>1</v>
      </c>
      <c r="K797" t="b" s="4">
        <v>0</v>
      </c>
    </row>
    <row r="798" ht="17" customHeight="1">
      <c r="A798" s="4">
        <v>686</v>
      </c>
      <c r="B798" s="5">
        <v>41426</v>
      </c>
      <c r="C798" t="s" s="3">
        <v>357</v>
      </c>
      <c r="D798" t="s" s="3">
        <v>122</v>
      </c>
      <c r="E798" s="6">
        <v>322640</v>
      </c>
      <c r="F798" s="6">
        <f>E798*0.19</f>
        <v>61301.6</v>
      </c>
      <c r="G798" s="6">
        <f>E798+F798</f>
        <v>383941.6</v>
      </c>
      <c r="H798" s="7">
        <f>IF(J798=TRUE(),E798,0)</f>
        <v>322640</v>
      </c>
      <c r="I798" s="7">
        <f>IF(K798=TRUE(),E798,0)</f>
        <v>0</v>
      </c>
      <c r="J798" t="b" s="4">
        <v>1</v>
      </c>
      <c r="K798" t="b" s="4">
        <v>0</v>
      </c>
    </row>
    <row r="799" ht="17" customHeight="1">
      <c r="A799" s="4">
        <v>687</v>
      </c>
      <c r="B799" s="5">
        <v>41426</v>
      </c>
      <c r="C799" t="s" s="3">
        <v>230</v>
      </c>
      <c r="D799" t="s" s="3">
        <v>122</v>
      </c>
      <c r="E799" s="6">
        <v>22882</v>
      </c>
      <c r="F799" s="6">
        <f>E799*0.19</f>
        <v>4347.58</v>
      </c>
      <c r="G799" s="6">
        <f>E799+F799</f>
        <v>27229.58</v>
      </c>
      <c r="H799" s="7">
        <f>IF(J799=TRUE(),E799,0)</f>
        <v>22882</v>
      </c>
      <c r="I799" s="7">
        <f>IF(K799=TRUE(),E799,0)</f>
        <v>0</v>
      </c>
      <c r="J799" t="b" s="4">
        <v>1</v>
      </c>
      <c r="K799" t="b" s="4">
        <v>0</v>
      </c>
    </row>
    <row r="800" ht="17" customHeight="1">
      <c r="A800" s="4">
        <v>688</v>
      </c>
      <c r="B800" s="5">
        <v>41426</v>
      </c>
      <c r="C800" t="s" s="3">
        <v>216</v>
      </c>
      <c r="D800" t="s" s="3">
        <v>122</v>
      </c>
      <c r="E800" s="6">
        <v>223331</v>
      </c>
      <c r="F800" s="6">
        <f>E800*0.19</f>
        <v>42432.89</v>
      </c>
      <c r="G800" s="6">
        <f>E800+F800</f>
        <v>265763.89</v>
      </c>
      <c r="H800" s="7">
        <f>IF(J800=TRUE(),E800,0)</f>
        <v>223331</v>
      </c>
      <c r="I800" s="7">
        <f>IF(K800=TRUE(),E800,0)</f>
        <v>0</v>
      </c>
      <c r="J800" t="b" s="4">
        <v>1</v>
      </c>
      <c r="K800" t="b" s="4">
        <v>0</v>
      </c>
    </row>
    <row r="801" ht="17" customHeight="1">
      <c r="A801" s="4">
        <v>689</v>
      </c>
      <c r="B801" s="5">
        <v>41426</v>
      </c>
      <c r="C801" t="s" s="3">
        <v>90</v>
      </c>
      <c r="D801" t="s" s="3">
        <v>122</v>
      </c>
      <c r="E801" s="6">
        <v>26086</v>
      </c>
      <c r="F801" s="6">
        <f>E801*0.19</f>
        <v>4956.34</v>
      </c>
      <c r="G801" s="6">
        <f>E801+F801</f>
        <v>31042.34</v>
      </c>
      <c r="H801" s="7">
        <f>IF(J801=TRUE(),E801,0)</f>
        <v>26086</v>
      </c>
      <c r="I801" s="7">
        <f>IF(K801=TRUE(),E801,0)</f>
        <v>0</v>
      </c>
      <c r="J801" t="b" s="4">
        <v>1</v>
      </c>
      <c r="K801" t="b" s="4">
        <v>0</v>
      </c>
    </row>
    <row r="802" ht="17" customHeight="1">
      <c r="A802" s="4">
        <v>690</v>
      </c>
      <c r="B802" s="5">
        <v>41426</v>
      </c>
      <c r="C802" t="s" s="3">
        <v>216</v>
      </c>
      <c r="D802" t="s" s="3">
        <v>122</v>
      </c>
      <c r="E802" s="6">
        <v>75511</v>
      </c>
      <c r="F802" s="6">
        <f>E802*0.19</f>
        <v>14347.09</v>
      </c>
      <c r="G802" s="6">
        <f>E802+F802</f>
        <v>89858.09</v>
      </c>
      <c r="H802" s="7">
        <f>IF(J802=TRUE(),E802,0)</f>
        <v>75511</v>
      </c>
      <c r="I802" s="7">
        <f>IF(K802=TRUE(),E802,0)</f>
        <v>0</v>
      </c>
      <c r="J802" t="b" s="4">
        <v>1</v>
      </c>
      <c r="K802" t="b" s="4">
        <v>0</v>
      </c>
    </row>
    <row r="803" ht="17" customHeight="1">
      <c r="A803" s="4">
        <v>691</v>
      </c>
      <c r="B803" s="5">
        <v>41426</v>
      </c>
      <c r="C803" t="s" s="3">
        <v>183</v>
      </c>
      <c r="D803" t="s" s="3">
        <v>122</v>
      </c>
      <c r="E803" s="6">
        <v>67274</v>
      </c>
      <c r="F803" s="6">
        <f>E803*0.19</f>
        <v>12782.06</v>
      </c>
      <c r="G803" s="6">
        <f>E803+F803</f>
        <v>80056.06</v>
      </c>
      <c r="H803" s="7">
        <f>IF(J803=TRUE(),E803,0)</f>
        <v>67274</v>
      </c>
      <c r="I803" s="7">
        <f>IF(K803=TRUE(),E803,0)</f>
        <v>0</v>
      </c>
      <c r="J803" t="b" s="4">
        <v>1</v>
      </c>
      <c r="K803" t="b" s="4">
        <v>0</v>
      </c>
    </row>
    <row r="804" ht="17" customHeight="1">
      <c r="A804" s="4">
        <v>692</v>
      </c>
      <c r="B804" s="5">
        <v>41426</v>
      </c>
      <c r="C804" t="s" s="3">
        <v>120</v>
      </c>
      <c r="D804" t="s" s="3">
        <v>122</v>
      </c>
      <c r="E804" s="6">
        <v>423550</v>
      </c>
      <c r="F804" s="6">
        <f>E804*0.19</f>
        <v>80474.5</v>
      </c>
      <c r="G804" s="6">
        <f>E804+F804</f>
        <v>504024.5</v>
      </c>
      <c r="H804" s="7">
        <f>IF(J804=TRUE(),E804,0)</f>
        <v>423550</v>
      </c>
      <c r="I804" s="7">
        <f>IF(K804=TRUE(),E804,0)</f>
        <v>0</v>
      </c>
      <c r="J804" t="b" s="4">
        <v>1</v>
      </c>
      <c r="K804" t="b" s="4">
        <v>0</v>
      </c>
    </row>
    <row r="805" ht="17" customHeight="1">
      <c r="A805" s="4">
        <v>693</v>
      </c>
      <c r="B805" s="5">
        <v>41426</v>
      </c>
      <c r="C805" t="s" s="3">
        <v>127</v>
      </c>
      <c r="D805" t="s" s="3">
        <v>122</v>
      </c>
      <c r="E805" s="6">
        <v>529756</v>
      </c>
      <c r="F805" s="6">
        <f>E805*0.19</f>
        <v>100653.64</v>
      </c>
      <c r="G805" s="6">
        <f>E805+F805</f>
        <v>630409.64</v>
      </c>
      <c r="H805" s="7">
        <f>IF(J805=TRUE(),E805,0)</f>
        <v>529756</v>
      </c>
      <c r="I805" s="7">
        <f>IF(K805=TRUE(),E805,0)</f>
        <v>0</v>
      </c>
      <c r="J805" t="b" s="4">
        <v>1</v>
      </c>
      <c r="K805" t="b" s="4">
        <v>0</v>
      </c>
    </row>
    <row r="806" ht="17" customHeight="1">
      <c r="A806" s="4">
        <v>694</v>
      </c>
      <c r="B806" s="5">
        <v>41442</v>
      </c>
      <c r="C806" t="s" s="3">
        <v>10</v>
      </c>
      <c r="D806" t="s" s="3">
        <v>229</v>
      </c>
      <c r="E806" s="6">
        <v>599883</v>
      </c>
      <c r="F806" s="6">
        <f>E806*0.19</f>
        <v>113977.77</v>
      </c>
      <c r="G806" s="6">
        <f>E806+F806</f>
        <v>713860.77</v>
      </c>
      <c r="H806" s="7">
        <f>IF(J806=TRUE(),E806,0)</f>
        <v>0</v>
      </c>
      <c r="I806" s="7">
        <f>IF(K806=TRUE(),E806,0)</f>
        <v>0</v>
      </c>
      <c r="J806" t="b" s="4">
        <v>0</v>
      </c>
      <c r="K806" t="b" s="4">
        <v>0</v>
      </c>
    </row>
    <row r="807" ht="17" customHeight="1">
      <c r="A807" s="4">
        <v>695</v>
      </c>
      <c r="B807" s="5">
        <v>41442</v>
      </c>
      <c r="C807" t="s" s="3">
        <v>120</v>
      </c>
      <c r="D807" t="s" s="3">
        <v>373</v>
      </c>
      <c r="E807" s="6">
        <v>211043</v>
      </c>
      <c r="F807" s="6">
        <f>E807*0.19</f>
        <v>40098.17</v>
      </c>
      <c r="G807" s="6">
        <f>E807+F807</f>
        <v>251141.17</v>
      </c>
      <c r="H807" s="7">
        <f>IF(J807=TRUE(),E807,0)</f>
        <v>0</v>
      </c>
      <c r="I807" s="7">
        <f>IF(K807=TRUE(),E807,0)</f>
        <v>0</v>
      </c>
      <c r="J807" t="b" s="4">
        <v>0</v>
      </c>
      <c r="K807" t="b" s="4">
        <v>0</v>
      </c>
    </row>
    <row r="808" ht="17" customHeight="1">
      <c r="A808" s="4">
        <v>696</v>
      </c>
      <c r="B808" s="5">
        <v>41442</v>
      </c>
      <c r="C808" t="s" s="3">
        <v>58</v>
      </c>
      <c r="D808" t="s" s="3">
        <v>350</v>
      </c>
      <c r="E808" s="6">
        <v>164539</v>
      </c>
      <c r="F808" s="6">
        <f>E808*0.19</f>
        <v>31262.41</v>
      </c>
      <c r="G808" s="6">
        <f>E808+F808</f>
        <v>195801.41</v>
      </c>
      <c r="H808" s="7">
        <f>IF(J808=TRUE(),E808,0)</f>
        <v>0</v>
      </c>
      <c r="I808" s="7">
        <f>IF(K808=TRUE(),E808,0)</f>
        <v>0</v>
      </c>
      <c r="J808" t="b" s="4">
        <v>0</v>
      </c>
      <c r="K808" t="b" s="4">
        <v>0</v>
      </c>
    </row>
    <row r="809" ht="17" customHeight="1">
      <c r="A809" s="4">
        <v>697</v>
      </c>
      <c r="B809" s="5">
        <v>41291</v>
      </c>
      <c r="C809" t="s" s="3">
        <v>307</v>
      </c>
      <c r="D809" t="s" s="3">
        <v>374</v>
      </c>
      <c r="E809" s="6">
        <v>445500</v>
      </c>
      <c r="F809" s="6">
        <f>E809*0.19</f>
        <v>84645</v>
      </c>
      <c r="G809" s="6">
        <f>E809+F809</f>
        <v>530145</v>
      </c>
      <c r="H809" s="7">
        <f>IF(J809=TRUE(),E809,0)</f>
        <v>0</v>
      </c>
      <c r="I809" s="7">
        <f>IF(K809=TRUE(),E809,0)</f>
        <v>0</v>
      </c>
      <c r="J809" t="b" s="4">
        <v>0</v>
      </c>
      <c r="K809" t="b" s="4">
        <v>0</v>
      </c>
    </row>
    <row r="810" ht="17" customHeight="1">
      <c r="A810" s="4">
        <v>698</v>
      </c>
      <c r="B810" s="5">
        <v>41442</v>
      </c>
      <c r="C810" t="s" s="3">
        <v>307</v>
      </c>
      <c r="D810" t="s" s="3">
        <v>375</v>
      </c>
      <c r="E810" s="6">
        <v>445500</v>
      </c>
      <c r="F810" s="6">
        <f>E810*0.19</f>
        <v>84645</v>
      </c>
      <c r="G810" s="6">
        <f>E810+F810</f>
        <v>530145</v>
      </c>
      <c r="H810" s="7">
        <f>IF(J810=TRUE(),E810,0)</f>
        <v>0</v>
      </c>
      <c r="I810" s="7">
        <f>IF(K810=TRUE(),E810,0)</f>
        <v>0</v>
      </c>
      <c r="J810" t="b" s="4">
        <v>0</v>
      </c>
      <c r="K810" t="b" s="4">
        <v>0</v>
      </c>
    </row>
    <row r="811" ht="17" customHeight="1">
      <c r="A811" s="4">
        <v>699</v>
      </c>
      <c r="B811" s="5">
        <v>41440</v>
      </c>
      <c r="C811" t="s" s="3">
        <v>66</v>
      </c>
      <c r="D811" t="s" s="3">
        <v>376</v>
      </c>
      <c r="E811" s="6">
        <v>426715</v>
      </c>
      <c r="F811" s="6">
        <f>E811*0.19</f>
        <v>81075.850000000006</v>
      </c>
      <c r="G811" s="6">
        <f>E811+F811</f>
        <v>507790.85</v>
      </c>
      <c r="H811" s="7">
        <f>IF(J811=TRUE(),E811,0)</f>
        <v>0</v>
      </c>
      <c r="I811" s="7">
        <f>IF(K811=TRUE(),E811,0)</f>
        <v>0</v>
      </c>
      <c r="J811" t="b" s="4">
        <v>0</v>
      </c>
      <c r="K811" t="b" s="4">
        <v>0</v>
      </c>
    </row>
    <row r="812" ht="17" customHeight="1">
      <c r="A812" s="4">
        <v>700</v>
      </c>
      <c r="B812" s="5">
        <v>41442</v>
      </c>
      <c r="C812" t="s" s="3">
        <v>307</v>
      </c>
      <c r="D812" t="s" s="3">
        <v>377</v>
      </c>
      <c r="E812" s="6">
        <v>110000</v>
      </c>
      <c r="F812" s="6">
        <f>E812*0.19</f>
        <v>20900</v>
      </c>
      <c r="G812" s="6">
        <f>E812+F812</f>
        <v>130900</v>
      </c>
      <c r="H812" s="7">
        <f>IF(J812=TRUE(),E812,0)</f>
        <v>0</v>
      </c>
      <c r="I812" s="7">
        <f>IF(K812=TRUE(),E812,0)</f>
        <v>0</v>
      </c>
      <c r="J812" t="b" s="4">
        <v>0</v>
      </c>
      <c r="K812" t="b" s="4">
        <v>0</v>
      </c>
    </row>
    <row r="813" ht="17" customHeight="1">
      <c r="A813" s="4">
        <v>701</v>
      </c>
      <c r="B813" s="5">
        <v>41442</v>
      </c>
      <c r="C813" t="s" s="3">
        <v>307</v>
      </c>
      <c r="D813" t="s" s="3">
        <v>378</v>
      </c>
      <c r="E813" s="6">
        <v>110000</v>
      </c>
      <c r="F813" s="6">
        <f>E813*0.19</f>
        <v>20900</v>
      </c>
      <c r="G813" s="6">
        <f>E813+F813</f>
        <v>130900</v>
      </c>
      <c r="H813" s="7">
        <f>IF(J813=TRUE(),E813,0)</f>
        <v>0</v>
      </c>
      <c r="I813" s="7">
        <f>IF(K813=TRUE(),E813,0)</f>
        <v>0</v>
      </c>
      <c r="J813" t="b" s="4">
        <v>0</v>
      </c>
      <c r="K813" t="b" s="4">
        <v>0</v>
      </c>
    </row>
    <row r="814" ht="17.5" customHeight="1">
      <c r="A814" s="9">
        <v>702</v>
      </c>
      <c r="B814" s="5">
        <v>41453</v>
      </c>
      <c r="C814" t="s" s="10">
        <v>127</v>
      </c>
      <c r="D814" t="s" s="10">
        <v>379</v>
      </c>
      <c r="E814" s="11">
        <v>190400</v>
      </c>
      <c r="F814" s="11">
        <f>E814*0.19</f>
        <v>36176</v>
      </c>
      <c r="G814" s="11">
        <f>E814+F814</f>
        <v>226576</v>
      </c>
      <c r="H814" s="12">
        <f>IF(J814=TRUE(),E814,0)</f>
        <v>0</v>
      </c>
      <c r="I814" s="12">
        <f>IF(K814=TRUE(),E814,0)</f>
        <v>0</v>
      </c>
      <c r="J814" t="b" s="9">
        <v>0</v>
      </c>
      <c r="K814" t="b" s="9">
        <v>0</v>
      </c>
    </row>
    <row r="815" ht="18" customHeight="1">
      <c r="A815" s="13">
        <v>27</v>
      </c>
      <c r="B815" t="s" s="3">
        <v>380</v>
      </c>
      <c r="C815" t="s" s="14">
        <v>7</v>
      </c>
      <c r="D815" s="14"/>
      <c r="E815" s="15">
        <f>SUM(E788:E814)</f>
        <v>10285095</v>
      </c>
      <c r="F815" s="15">
        <f>SUM(F788:F814)</f>
        <v>1954168.05</v>
      </c>
      <c r="G815" s="16">
        <f>SUM(G788:G814)</f>
        <v>12239263.05</v>
      </c>
      <c r="H815" s="17">
        <f>SUM(H788:H814)</f>
        <v>2086665</v>
      </c>
      <c r="I815" s="17"/>
      <c r="J815" s="18">
        <f>COUNTIF(J788:J814,TRUE())</f>
        <v>16</v>
      </c>
      <c r="K815" s="19"/>
    </row>
    <row r="816" ht="17.5" customHeight="1">
      <c r="A816" s="20"/>
      <c r="B816" s="5"/>
      <c r="C816" s="20"/>
      <c r="D816" s="21"/>
      <c r="E816" s="20"/>
      <c r="F816" s="20"/>
      <c r="G816" s="20"/>
      <c r="H816" s="22"/>
      <c r="I816" s="22"/>
      <c r="J816" s="20"/>
      <c r="K816" s="20"/>
    </row>
    <row r="817" ht="17" customHeight="1">
      <c r="A817" t="s" s="3">
        <v>1</v>
      </c>
      <c r="B817" t="s" s="3">
        <v>2</v>
      </c>
      <c r="C817" t="s" s="3">
        <v>3</v>
      </c>
      <c r="D817" t="s" s="3">
        <v>4</v>
      </c>
      <c r="E817" t="s" s="3">
        <v>5</v>
      </c>
      <c r="F817" t="s" s="3">
        <v>6</v>
      </c>
      <c r="G817" t="s" s="3">
        <v>7</v>
      </c>
      <c r="H817" s="7"/>
      <c r="I817" s="7"/>
      <c r="J817" s="8"/>
      <c r="K817" s="8"/>
    </row>
    <row r="818" ht="17" customHeight="1">
      <c r="A818" s="4">
        <v>703</v>
      </c>
      <c r="B818" s="5">
        <v>41466</v>
      </c>
      <c r="C818" t="s" s="3">
        <v>381</v>
      </c>
      <c r="D818" t="s" s="3">
        <v>382</v>
      </c>
      <c r="E818" s="6">
        <v>240000</v>
      </c>
      <c r="F818" s="6">
        <f>E818*0.19</f>
        <v>45600</v>
      </c>
      <c r="G818" s="6">
        <f>E818+F818</f>
        <v>285600</v>
      </c>
      <c r="H818" s="7">
        <f>IF(J818=TRUE(),E818,0)</f>
        <v>0</v>
      </c>
      <c r="I818" s="7">
        <f>IF(K818=TRUE(),E818,0)</f>
        <v>0</v>
      </c>
      <c r="J818" t="b" s="4">
        <v>0</v>
      </c>
      <c r="K818" t="b" s="4">
        <v>0</v>
      </c>
    </row>
    <row r="819" ht="17" customHeight="1">
      <c r="A819" s="4">
        <v>704</v>
      </c>
      <c r="B819" s="5">
        <v>41485</v>
      </c>
      <c r="C819" t="s" s="3">
        <v>307</v>
      </c>
      <c r="D819" t="s" s="3">
        <v>383</v>
      </c>
      <c r="E819" s="6">
        <v>513000</v>
      </c>
      <c r="F819" s="6">
        <f>E819*0.19</f>
        <v>97470</v>
      </c>
      <c r="G819" s="6">
        <f>E819+F819</f>
        <v>610470</v>
      </c>
      <c r="H819" s="7">
        <f>IF(J819=TRUE(),E819,0)</f>
        <v>0</v>
      </c>
      <c r="I819" s="7">
        <f>IF(K819=TRUE(),E819,0)</f>
        <v>0</v>
      </c>
      <c r="J819" t="b" s="4">
        <v>0</v>
      </c>
      <c r="K819" t="b" s="4">
        <v>0</v>
      </c>
    </row>
    <row r="820" ht="17" customHeight="1">
      <c r="A820" s="4">
        <v>705</v>
      </c>
      <c r="B820" s="5">
        <v>41456</v>
      </c>
      <c r="C820" t="s" s="3">
        <v>66</v>
      </c>
      <c r="D820" t="s" s="3">
        <v>140</v>
      </c>
      <c r="E820" s="6">
        <v>139401</v>
      </c>
      <c r="F820" s="6">
        <f>E820*0.19</f>
        <v>26486.19</v>
      </c>
      <c r="G820" s="6">
        <f>E820+F820</f>
        <v>165887.19</v>
      </c>
      <c r="H820" s="7">
        <f>IF(J820=TRUE(),E820,0)</f>
        <v>139401</v>
      </c>
      <c r="I820" s="7">
        <f>IF(K820=TRUE(),E820,0)</f>
        <v>0</v>
      </c>
      <c r="J820" t="b" s="4">
        <v>1</v>
      </c>
      <c r="K820" t="b" s="4">
        <v>0</v>
      </c>
    </row>
    <row r="821" ht="17" customHeight="1">
      <c r="A821" s="4">
        <v>706</v>
      </c>
      <c r="B821" s="5">
        <v>41456</v>
      </c>
      <c r="C821" t="s" s="3">
        <v>40</v>
      </c>
      <c r="D821" t="s" s="3">
        <v>140</v>
      </c>
      <c r="E821" s="6">
        <v>158000</v>
      </c>
      <c r="F821" s="6">
        <f>E821*0.19</f>
        <v>30020</v>
      </c>
      <c r="G821" s="6">
        <f>E821+F821</f>
        <v>188020</v>
      </c>
      <c r="H821" s="7">
        <f>IF(J821=TRUE(),E821,0)</f>
        <v>158000</v>
      </c>
      <c r="I821" s="7">
        <f>IF(K821=TRUE(),E821,0)</f>
        <v>0</v>
      </c>
      <c r="J821" t="b" s="4">
        <v>1</v>
      </c>
      <c r="K821" t="b" s="4">
        <v>0</v>
      </c>
    </row>
    <row r="822" ht="17" customHeight="1">
      <c r="A822" s="4">
        <v>707</v>
      </c>
      <c r="B822" s="5">
        <v>41456</v>
      </c>
      <c r="C822" t="s" s="3">
        <v>22</v>
      </c>
      <c r="D822" t="s" s="3">
        <v>140</v>
      </c>
      <c r="E822" s="6">
        <v>159055</v>
      </c>
      <c r="F822" s="6">
        <f>E822*0.19</f>
        <v>30220.45</v>
      </c>
      <c r="G822" s="6">
        <f>E822+F822</f>
        <v>189275.45</v>
      </c>
      <c r="H822" s="7">
        <f>IF(J822=TRUE(),E822,0)</f>
        <v>159055</v>
      </c>
      <c r="I822" s="7">
        <f>IF(K822=TRUE(),E822,0)</f>
        <v>0</v>
      </c>
      <c r="J822" t="b" s="4">
        <v>1</v>
      </c>
      <c r="K822" t="b" s="4">
        <v>0</v>
      </c>
    </row>
    <row r="823" ht="17" customHeight="1">
      <c r="A823" s="4">
        <v>708</v>
      </c>
      <c r="B823" s="5">
        <v>41456</v>
      </c>
      <c r="C823" t="s" s="3">
        <v>268</v>
      </c>
      <c r="D823" t="s" s="3">
        <v>140</v>
      </c>
      <c r="E823" s="6">
        <v>51419</v>
      </c>
      <c r="F823" s="6">
        <f>E823*0.19</f>
        <v>9769.610000000001</v>
      </c>
      <c r="G823" s="6">
        <f>E823+F823</f>
        <v>61188.61</v>
      </c>
      <c r="H823" s="7">
        <f>IF(J823=TRUE(),E823,0)</f>
        <v>51419</v>
      </c>
      <c r="I823" s="7">
        <f>IF(K823=TRUE(),E823,0)</f>
        <v>0</v>
      </c>
      <c r="J823" t="b" s="4">
        <v>1</v>
      </c>
      <c r="K823" t="b" s="4">
        <v>0</v>
      </c>
    </row>
    <row r="824" ht="17" customHeight="1">
      <c r="A824" s="4">
        <v>709</v>
      </c>
      <c r="B824" s="5">
        <v>41456</v>
      </c>
      <c r="C824" t="s" s="3">
        <v>34</v>
      </c>
      <c r="D824" t="s" s="3">
        <v>140</v>
      </c>
      <c r="E824" s="6">
        <v>53475</v>
      </c>
      <c r="F824" s="6">
        <f>E824*0.19</f>
        <v>10160.25</v>
      </c>
      <c r="G824" s="6">
        <f>E824+F824</f>
        <v>63635.25</v>
      </c>
      <c r="H824" s="7">
        <f>IF(J824=TRUE(),E824,0)</f>
        <v>53475</v>
      </c>
      <c r="I824" s="7">
        <f>IF(K824=TRUE(),E824,0)</f>
        <v>0</v>
      </c>
      <c r="J824" t="b" s="4">
        <v>1</v>
      </c>
      <c r="K824" t="b" s="4">
        <v>0</v>
      </c>
    </row>
    <row r="825" ht="17" customHeight="1">
      <c r="A825" s="4">
        <v>710</v>
      </c>
      <c r="B825" s="5">
        <v>41456</v>
      </c>
      <c r="C825" t="s" s="3">
        <v>60</v>
      </c>
      <c r="D825" t="s" s="3">
        <v>140</v>
      </c>
      <c r="E825" s="6">
        <v>69472</v>
      </c>
      <c r="F825" s="6">
        <f>E825*0.19</f>
        <v>13199.68</v>
      </c>
      <c r="G825" s="6">
        <f>E825+F825</f>
        <v>82671.679999999993</v>
      </c>
      <c r="H825" s="7">
        <f>IF(J825=TRUE(),E825,0)</f>
        <v>69472</v>
      </c>
      <c r="I825" s="7">
        <f>IF(K825=TRUE(),E825,0)</f>
        <v>0</v>
      </c>
      <c r="J825" t="b" s="4">
        <v>1</v>
      </c>
      <c r="K825" t="b" s="4">
        <v>0</v>
      </c>
    </row>
    <row r="826" ht="17" customHeight="1">
      <c r="A826" s="4">
        <v>711</v>
      </c>
      <c r="B826" s="5">
        <v>41456</v>
      </c>
      <c r="C826" t="s" s="3">
        <v>42</v>
      </c>
      <c r="D826" t="s" s="3">
        <v>140</v>
      </c>
      <c r="E826" s="6">
        <v>250103</v>
      </c>
      <c r="F826" s="6">
        <f>E826*0.19</f>
        <v>47519.57</v>
      </c>
      <c r="G826" s="6">
        <f>E826+F826</f>
        <v>297622.57</v>
      </c>
      <c r="H826" s="7">
        <f>IF(J826=TRUE(),E826,0)</f>
        <v>250103</v>
      </c>
      <c r="I826" s="7">
        <f>IF(K826=TRUE(),E826,0)</f>
        <v>0</v>
      </c>
      <c r="J826" t="b" s="4">
        <v>1</v>
      </c>
      <c r="K826" t="b" s="4">
        <v>0</v>
      </c>
    </row>
    <row r="827" ht="17" customHeight="1">
      <c r="A827" s="4">
        <v>712</v>
      </c>
      <c r="B827" s="5">
        <v>41456</v>
      </c>
      <c r="C827" t="s" s="3">
        <v>384</v>
      </c>
      <c r="D827" t="s" s="3">
        <v>140</v>
      </c>
      <c r="E827" s="6">
        <v>39992</v>
      </c>
      <c r="F827" s="6">
        <f>E827*0.19</f>
        <v>7598.48</v>
      </c>
      <c r="G827" s="6">
        <f>E827+F827</f>
        <v>47590.48</v>
      </c>
      <c r="H827" s="7">
        <f>IF(J827=TRUE(),E827,0)</f>
        <v>39992</v>
      </c>
      <c r="I827" s="7">
        <f>IF(K827=TRUE(),E827,0)</f>
        <v>0</v>
      </c>
      <c r="J827" t="b" s="4">
        <v>1</v>
      </c>
      <c r="K827" t="b" s="4">
        <v>0</v>
      </c>
    </row>
    <row r="828" ht="17" customHeight="1">
      <c r="A828" s="4">
        <v>713</v>
      </c>
      <c r="B828" s="5">
        <v>41456</v>
      </c>
      <c r="C828" t="s" s="3">
        <v>357</v>
      </c>
      <c r="D828" t="s" s="3">
        <v>140</v>
      </c>
      <c r="E828" s="6">
        <v>322223</v>
      </c>
      <c r="F828" s="6">
        <f>E828*0.19</f>
        <v>61222.37</v>
      </c>
      <c r="G828" s="6">
        <f>E828+F828</f>
        <v>383445.37</v>
      </c>
      <c r="H828" s="7">
        <f>IF(J828=TRUE(),E828,0)</f>
        <v>322223</v>
      </c>
      <c r="I828" s="7">
        <f>IF(K828=TRUE(),E828,0)</f>
        <v>0</v>
      </c>
      <c r="J828" t="b" s="4">
        <v>1</v>
      </c>
      <c r="K828" t="b" s="4">
        <v>0</v>
      </c>
    </row>
    <row r="829" ht="17" customHeight="1">
      <c r="A829" s="4">
        <v>714</v>
      </c>
      <c r="B829" s="5">
        <v>41456</v>
      </c>
      <c r="C829" t="s" s="3">
        <v>230</v>
      </c>
      <c r="D829" t="s" s="3">
        <v>140</v>
      </c>
      <c r="E829" s="6">
        <v>22853</v>
      </c>
      <c r="F829" s="6">
        <f>E829*0.19</f>
        <v>4342.07</v>
      </c>
      <c r="G829" s="6">
        <f>E829+F829</f>
        <v>27195.07</v>
      </c>
      <c r="H829" s="7">
        <f>IF(J829=TRUE(),E829,0)</f>
        <v>22853</v>
      </c>
      <c r="I829" s="7">
        <f>IF(K829=TRUE(),E829,0)</f>
        <v>0</v>
      </c>
      <c r="J829" t="b" s="4">
        <v>1</v>
      </c>
      <c r="K829" t="b" s="4">
        <v>0</v>
      </c>
    </row>
    <row r="830" ht="17" customHeight="1">
      <c r="A830" s="4">
        <v>715</v>
      </c>
      <c r="B830" s="5">
        <v>41456</v>
      </c>
      <c r="C830" t="s" s="3">
        <v>216</v>
      </c>
      <c r="D830" t="s" s="3">
        <v>140</v>
      </c>
      <c r="E830" s="6">
        <v>223042</v>
      </c>
      <c r="F830" s="6">
        <f>E830*0.19</f>
        <v>42377.98</v>
      </c>
      <c r="G830" s="6">
        <f>E830+F830</f>
        <v>265419.98</v>
      </c>
      <c r="H830" s="7">
        <f>IF(J830=TRUE(),E830,0)</f>
        <v>223042</v>
      </c>
      <c r="I830" s="7">
        <f>IF(K830=TRUE(),E830,0)</f>
        <v>0</v>
      </c>
      <c r="J830" t="b" s="4">
        <v>1</v>
      </c>
      <c r="K830" t="b" s="4">
        <v>0</v>
      </c>
    </row>
    <row r="831" ht="17" customHeight="1">
      <c r="A831" s="4">
        <v>716</v>
      </c>
      <c r="B831" s="5">
        <v>41456</v>
      </c>
      <c r="C831" t="s" s="3">
        <v>90</v>
      </c>
      <c r="D831" t="s" s="3">
        <v>140</v>
      </c>
      <c r="E831" s="6">
        <v>26052</v>
      </c>
      <c r="F831" s="6">
        <f>E831*0.19</f>
        <v>4949.88</v>
      </c>
      <c r="G831" s="6">
        <f>E831+F831</f>
        <v>31001.88</v>
      </c>
      <c r="H831" s="7">
        <f>IF(J831=TRUE(),E831,0)</f>
        <v>26052</v>
      </c>
      <c r="I831" s="7">
        <f>IF(K831=TRUE(),E831,0)</f>
        <v>0</v>
      </c>
      <c r="J831" t="b" s="4">
        <v>1</v>
      </c>
      <c r="K831" t="b" s="4">
        <v>0</v>
      </c>
    </row>
    <row r="832" ht="17" customHeight="1">
      <c r="A832" s="4">
        <v>717</v>
      </c>
      <c r="B832" s="5">
        <v>41456</v>
      </c>
      <c r="C832" t="s" s="3">
        <v>216</v>
      </c>
      <c r="D832" t="s" s="3">
        <v>140</v>
      </c>
      <c r="E832" s="6">
        <v>75414</v>
      </c>
      <c r="F832" s="6">
        <f>E832*0.19</f>
        <v>14328.66</v>
      </c>
      <c r="G832" s="6">
        <f>E832+F832</f>
        <v>89742.66</v>
      </c>
      <c r="H832" s="7">
        <f>IF(J832=TRUE(),E832,0)</f>
        <v>75414</v>
      </c>
      <c r="I832" s="7">
        <f>IF(K832=TRUE(),E832,0)</f>
        <v>0</v>
      </c>
      <c r="J832" t="b" s="4">
        <v>1</v>
      </c>
      <c r="K832" t="b" s="4">
        <v>0</v>
      </c>
    </row>
    <row r="833" ht="17" customHeight="1">
      <c r="A833" s="4">
        <v>718</v>
      </c>
      <c r="B833" s="5">
        <v>41456</v>
      </c>
      <c r="C833" t="s" s="3">
        <v>183</v>
      </c>
      <c r="D833" t="s" s="3">
        <v>140</v>
      </c>
      <c r="E833" s="6">
        <v>67187</v>
      </c>
      <c r="F833" s="6">
        <f>E833*0.19</f>
        <v>12765.53</v>
      </c>
      <c r="G833" s="6">
        <f>E833+F833</f>
        <v>79952.53</v>
      </c>
      <c r="H833" s="7">
        <f>IF(J833=TRUE(),E833,0)</f>
        <v>67187</v>
      </c>
      <c r="I833" s="7">
        <f>IF(K833=TRUE(),E833,0)</f>
        <v>0</v>
      </c>
      <c r="J833" t="b" s="4">
        <v>1</v>
      </c>
      <c r="K833" t="b" s="4">
        <v>0</v>
      </c>
    </row>
    <row r="834" ht="17" customHeight="1">
      <c r="A834" s="4">
        <v>719</v>
      </c>
      <c r="B834" s="5">
        <v>41456</v>
      </c>
      <c r="C834" t="s" s="3">
        <v>120</v>
      </c>
      <c r="D834" t="s" s="3">
        <v>140</v>
      </c>
      <c r="E834" s="6">
        <v>423003</v>
      </c>
      <c r="F834" s="6">
        <f>E834*0.19</f>
        <v>80370.570000000007</v>
      </c>
      <c r="G834" s="6">
        <f>E834+F834</f>
        <v>503373.57</v>
      </c>
      <c r="H834" s="7">
        <f>IF(J834=TRUE(),E834,0)</f>
        <v>423003</v>
      </c>
      <c r="I834" s="7">
        <f>IF(K834=TRUE(),E834,0)</f>
        <v>0</v>
      </c>
      <c r="J834" t="b" s="4">
        <v>1</v>
      </c>
      <c r="K834" t="b" s="4">
        <v>0</v>
      </c>
    </row>
    <row r="835" ht="17" customHeight="1">
      <c r="A835" s="4">
        <v>720</v>
      </c>
      <c r="B835" s="5">
        <v>41456</v>
      </c>
      <c r="C835" t="s" s="3">
        <v>127</v>
      </c>
      <c r="D835" t="s" s="3">
        <v>140</v>
      </c>
      <c r="E835" s="6">
        <v>527668</v>
      </c>
      <c r="F835" s="6">
        <f>E835*0.19</f>
        <v>100256.92</v>
      </c>
      <c r="G835" s="6">
        <f>E835+F835</f>
        <v>627924.92</v>
      </c>
      <c r="H835" s="7">
        <f>IF(J835=TRUE(),E835,0)</f>
        <v>527668</v>
      </c>
      <c r="I835" s="7">
        <f>IF(K835=TRUE(),E835,0)</f>
        <v>0</v>
      </c>
      <c r="J835" t="b" s="4">
        <v>1</v>
      </c>
      <c r="K835" t="b" s="4">
        <v>0</v>
      </c>
    </row>
    <row r="836" ht="17.5" customHeight="1">
      <c r="A836" s="9">
        <v>721</v>
      </c>
      <c r="B836" s="5">
        <v>41456</v>
      </c>
      <c r="C836" t="s" s="10">
        <v>36</v>
      </c>
      <c r="D836" t="s" s="10">
        <v>385</v>
      </c>
      <c r="E836" s="11">
        <v>310796</v>
      </c>
      <c r="F836" s="11">
        <f>E836*0.19</f>
        <v>59051.24</v>
      </c>
      <c r="G836" s="11">
        <f>E836+F836</f>
        <v>369847.24</v>
      </c>
      <c r="H836" s="12">
        <f>IF(J836=TRUE(),E836,0)</f>
        <v>310796</v>
      </c>
      <c r="I836" s="12">
        <f>IF(K836=TRUE(),E836,0)</f>
        <v>0</v>
      </c>
      <c r="J836" t="b" s="9">
        <v>1</v>
      </c>
      <c r="K836" t="b" s="9">
        <v>0</v>
      </c>
    </row>
    <row r="837" ht="18" customHeight="1">
      <c r="A837" s="13">
        <f>COUNT(A818:A836)</f>
        <v>19</v>
      </c>
      <c r="B837" t="s" s="3">
        <v>386</v>
      </c>
      <c r="C837" t="s" s="14">
        <v>7</v>
      </c>
      <c r="D837" s="14"/>
      <c r="E837" s="15">
        <f>SUM(E818:E836)</f>
        <v>3672155</v>
      </c>
      <c r="F837" s="15">
        <f>SUM(F818:F836)</f>
        <v>697709.4500000001</v>
      </c>
      <c r="G837" s="16">
        <f>SUM(G818:G836)</f>
        <v>4369864.449999999</v>
      </c>
      <c r="H837" s="17">
        <f>SUM(H818:H836)</f>
        <v>2919155</v>
      </c>
      <c r="I837" s="17"/>
      <c r="J837" s="18">
        <f>COUNTIF(J818:J836,TRUE())</f>
        <v>17</v>
      </c>
      <c r="K837" s="19"/>
    </row>
    <row r="838" ht="17.5" customHeight="1">
      <c r="A838" s="20"/>
      <c r="B838" s="5"/>
      <c r="C838" s="20"/>
      <c r="D838" s="21"/>
      <c r="E838" s="20"/>
      <c r="F838" s="20"/>
      <c r="G838" s="20"/>
      <c r="H838" s="22"/>
      <c r="I838" s="22"/>
      <c r="J838" s="20"/>
      <c r="K838" s="20"/>
    </row>
    <row r="839" ht="17" customHeight="1">
      <c r="A839" t="s" s="3">
        <v>1</v>
      </c>
      <c r="B839" t="s" s="3">
        <v>2</v>
      </c>
      <c r="C839" t="s" s="3">
        <v>3</v>
      </c>
      <c r="D839" t="s" s="3">
        <v>4</v>
      </c>
      <c r="E839" t="s" s="3">
        <v>5</v>
      </c>
      <c r="F839" t="s" s="3">
        <v>6</v>
      </c>
      <c r="G839" t="s" s="3">
        <v>7</v>
      </c>
      <c r="H839" s="7"/>
      <c r="I839" s="7"/>
      <c r="J839" s="8"/>
      <c r="K839" s="8"/>
    </row>
    <row r="840" ht="17" customHeight="1">
      <c r="A840" s="4">
        <v>722</v>
      </c>
      <c r="B840" s="5">
        <v>41487</v>
      </c>
      <c r="C840" t="s" s="3">
        <v>307</v>
      </c>
      <c r="D840" t="s" s="3">
        <v>387</v>
      </c>
      <c r="E840" s="6">
        <v>150000</v>
      </c>
      <c r="F840" s="6">
        <f>E840*0.19</f>
        <v>28500</v>
      </c>
      <c r="G840" s="6">
        <f>E840+F840</f>
        <v>178500</v>
      </c>
      <c r="H840" s="7">
        <f>IF(J840=TRUE(),E840,0)</f>
        <v>0</v>
      </c>
      <c r="I840" s="7">
        <f>IF(K840=TRUE(),E840,0)</f>
        <v>0</v>
      </c>
      <c r="J840" t="b" s="4">
        <v>0</v>
      </c>
      <c r="K840" t="b" s="4">
        <v>0</v>
      </c>
    </row>
    <row r="841" ht="17" customHeight="1">
      <c r="A841" s="4">
        <v>723</v>
      </c>
      <c r="B841" s="5">
        <v>41487</v>
      </c>
      <c r="C841" t="s" s="3">
        <v>33</v>
      </c>
      <c r="D841" t="s" s="3">
        <v>388</v>
      </c>
      <c r="E841" s="6">
        <v>911057</v>
      </c>
      <c r="F841" s="6">
        <f>E841*0.19</f>
        <v>173100.83</v>
      </c>
      <c r="G841" s="6">
        <f>E841+F841</f>
        <v>1084157.83</v>
      </c>
      <c r="H841" s="7">
        <f>IF(J841=TRUE(),E841,0)</f>
        <v>911057</v>
      </c>
      <c r="I841" s="7">
        <f>IF(K841=TRUE(),E841,0)</f>
        <v>0</v>
      </c>
      <c r="J841" t="b" s="4">
        <v>1</v>
      </c>
      <c r="K841" t="b" s="4">
        <v>0</v>
      </c>
    </row>
    <row r="842" ht="17" customHeight="1">
      <c r="A842" s="4">
        <v>724</v>
      </c>
      <c r="B842" s="5">
        <v>41487</v>
      </c>
      <c r="C842" t="s" s="3">
        <v>33</v>
      </c>
      <c r="D842" t="s" s="3">
        <v>389</v>
      </c>
      <c r="E842" s="6">
        <v>42695</v>
      </c>
      <c r="F842" s="6">
        <f>E842*0.19</f>
        <v>8112.05</v>
      </c>
      <c r="G842" s="6">
        <f>E842+F842</f>
        <v>50807.05</v>
      </c>
      <c r="H842" s="7">
        <f>IF(J842=TRUE(),E842,0)</f>
        <v>42695</v>
      </c>
      <c r="I842" s="7">
        <f>IF(K842=TRUE(),E842,0)</f>
        <v>0</v>
      </c>
      <c r="J842" t="b" s="4">
        <v>1</v>
      </c>
      <c r="K842" t="b" s="4">
        <v>0</v>
      </c>
    </row>
    <row r="843" ht="17" customHeight="1">
      <c r="A843" s="4">
        <v>725</v>
      </c>
      <c r="B843" s="5">
        <v>41487</v>
      </c>
      <c r="C843" t="s" s="3">
        <v>33</v>
      </c>
      <c r="D843" t="s" s="3">
        <v>390</v>
      </c>
      <c r="E843" s="6">
        <v>851376</v>
      </c>
      <c r="F843" s="6">
        <f>E843*0.19</f>
        <v>161761.44</v>
      </c>
      <c r="G843" s="6">
        <f>E843+F843</f>
        <v>1013137.44</v>
      </c>
      <c r="H843" s="7">
        <f>IF(J843=TRUE(),E843,0)</f>
        <v>851376</v>
      </c>
      <c r="I843" s="7">
        <f>IF(K843=TRUE(),E843,0)</f>
        <v>0</v>
      </c>
      <c r="J843" t="b" s="4">
        <v>1</v>
      </c>
      <c r="K843" t="b" s="4">
        <v>0</v>
      </c>
    </row>
    <row r="844" ht="17" customHeight="1">
      <c r="A844" s="4">
        <v>726</v>
      </c>
      <c r="B844" s="5">
        <v>41487</v>
      </c>
      <c r="C844" t="s" s="3">
        <v>33</v>
      </c>
      <c r="D844" t="s" s="3">
        <v>391</v>
      </c>
      <c r="E844" s="6">
        <v>42695</v>
      </c>
      <c r="F844" s="6">
        <f>E844*0.19</f>
        <v>8112.05</v>
      </c>
      <c r="G844" s="6">
        <f>E844+F844</f>
        <v>50807.05</v>
      </c>
      <c r="H844" s="7">
        <f>IF(J844=TRUE(),E844,0)</f>
        <v>42695</v>
      </c>
      <c r="I844" s="7">
        <f>IF(K844=TRUE(),E844,0)</f>
        <v>0</v>
      </c>
      <c r="J844" t="b" s="4">
        <v>1</v>
      </c>
      <c r="K844" t="b" s="4">
        <v>0</v>
      </c>
    </row>
    <row r="845" ht="17" customHeight="1">
      <c r="A845" s="4">
        <v>727</v>
      </c>
      <c r="B845" s="5">
        <v>41487</v>
      </c>
      <c r="C845" t="s" s="3">
        <v>33</v>
      </c>
      <c r="D845" t="s" s="3">
        <v>392</v>
      </c>
      <c r="E845" s="6">
        <v>911057</v>
      </c>
      <c r="F845" s="6">
        <f>E845*0.19</f>
        <v>173100.83</v>
      </c>
      <c r="G845" s="6">
        <f>E845+F845</f>
        <v>1084157.83</v>
      </c>
      <c r="H845" s="7">
        <f>IF(J845=TRUE(),E845,0)</f>
        <v>911057</v>
      </c>
      <c r="I845" s="7">
        <f>IF(K845=TRUE(),E845,0)</f>
        <v>0</v>
      </c>
      <c r="J845" t="b" s="4">
        <v>1</v>
      </c>
      <c r="K845" t="b" s="4">
        <v>0</v>
      </c>
    </row>
    <row r="846" ht="17" customHeight="1">
      <c r="A846" s="4">
        <v>728</v>
      </c>
      <c r="B846" s="5">
        <v>41487</v>
      </c>
      <c r="C846" t="s" s="3">
        <v>33</v>
      </c>
      <c r="D846" t="s" s="3">
        <v>393</v>
      </c>
      <c r="E846" s="6">
        <v>42695</v>
      </c>
      <c r="F846" s="6">
        <f>E846*0.19</f>
        <v>8112.05</v>
      </c>
      <c r="G846" s="6">
        <f>E846+F846</f>
        <v>50807.05</v>
      </c>
      <c r="H846" s="7">
        <f>IF(J846=TRUE(),E846,0)</f>
        <v>42695</v>
      </c>
      <c r="I846" s="7">
        <f>IF(K846=TRUE(),E846,0)</f>
        <v>0</v>
      </c>
      <c r="J846" t="b" s="4">
        <v>1</v>
      </c>
      <c r="K846" t="b" s="4">
        <v>0</v>
      </c>
    </row>
    <row r="847" ht="17" customHeight="1">
      <c r="A847" s="4">
        <v>729</v>
      </c>
      <c r="B847" s="5">
        <v>41487</v>
      </c>
      <c r="C847" t="s" s="3">
        <v>33</v>
      </c>
      <c r="D847" t="s" s="3">
        <v>394</v>
      </c>
      <c r="E847" s="6">
        <v>851376</v>
      </c>
      <c r="F847" s="6">
        <f>E847*0.19</f>
        <v>161761.44</v>
      </c>
      <c r="G847" s="6">
        <f>E847+F847</f>
        <v>1013137.44</v>
      </c>
      <c r="H847" s="7">
        <f>IF(J847=TRUE(),E847,0)</f>
        <v>851376</v>
      </c>
      <c r="I847" s="7">
        <f>IF(K847=TRUE(),E847,0)</f>
        <v>0</v>
      </c>
      <c r="J847" t="b" s="4">
        <v>1</v>
      </c>
      <c r="K847" t="b" s="4">
        <v>0</v>
      </c>
    </row>
    <row r="848" ht="17" customHeight="1">
      <c r="A848" s="4">
        <v>730</v>
      </c>
      <c r="B848" s="5">
        <v>41487</v>
      </c>
      <c r="C848" t="s" s="3">
        <v>33</v>
      </c>
      <c r="D848" t="s" s="3">
        <v>395</v>
      </c>
      <c r="E848" s="6">
        <v>42695</v>
      </c>
      <c r="F848" s="6">
        <f>E848*0.19</f>
        <v>8112.05</v>
      </c>
      <c r="G848" s="6">
        <f>E848+F848</f>
        <v>50807.05</v>
      </c>
      <c r="H848" s="7">
        <f>IF(J848=TRUE(),E848,0)</f>
        <v>42695</v>
      </c>
      <c r="I848" s="7">
        <f>IF(K848=TRUE(),E848,0)</f>
        <v>0</v>
      </c>
      <c r="J848" t="b" s="4">
        <v>1</v>
      </c>
      <c r="K848" t="b" s="4">
        <v>0</v>
      </c>
    </row>
    <row r="849" ht="17" customHeight="1">
      <c r="A849" s="4">
        <v>731</v>
      </c>
      <c r="B849" s="5">
        <v>41487</v>
      </c>
      <c r="C849" t="s" s="3">
        <v>33</v>
      </c>
      <c r="D849" t="s" s="3">
        <v>396</v>
      </c>
      <c r="E849" s="6">
        <v>911057</v>
      </c>
      <c r="F849" s="6">
        <f>E849*0.19</f>
        <v>173100.83</v>
      </c>
      <c r="G849" s="6">
        <f>E849+F849</f>
        <v>1084157.83</v>
      </c>
      <c r="H849" s="7">
        <f>IF(J849=TRUE(),E849,0)</f>
        <v>911057</v>
      </c>
      <c r="I849" s="7">
        <f>IF(K849=TRUE(),E849,0)</f>
        <v>0</v>
      </c>
      <c r="J849" t="b" s="4">
        <v>1</v>
      </c>
      <c r="K849" t="b" s="4">
        <v>0</v>
      </c>
    </row>
    <row r="850" ht="17" customHeight="1">
      <c r="A850" s="4">
        <v>732</v>
      </c>
      <c r="B850" s="5">
        <v>41487</v>
      </c>
      <c r="C850" t="s" s="3">
        <v>33</v>
      </c>
      <c r="D850" t="s" s="3">
        <v>397</v>
      </c>
      <c r="E850" s="6">
        <v>42695</v>
      </c>
      <c r="F850" s="6">
        <f>E850*0.19</f>
        <v>8112.05</v>
      </c>
      <c r="G850" s="6">
        <f>E850+F850</f>
        <v>50807.05</v>
      </c>
      <c r="H850" s="7">
        <f>IF(J850=TRUE(),E850,0)</f>
        <v>42695</v>
      </c>
      <c r="I850" s="7">
        <f>IF(K850=TRUE(),E850,0)</f>
        <v>0</v>
      </c>
      <c r="J850" t="b" s="4">
        <v>1</v>
      </c>
      <c r="K850" t="b" s="4">
        <v>0</v>
      </c>
    </row>
    <row r="851" ht="17" customHeight="1">
      <c r="A851" s="4">
        <v>733</v>
      </c>
      <c r="B851" s="5">
        <v>41487</v>
      </c>
      <c r="C851" t="s" s="3">
        <v>33</v>
      </c>
      <c r="D851" t="s" s="3">
        <v>398</v>
      </c>
      <c r="E851" s="6">
        <v>851376</v>
      </c>
      <c r="F851" s="6">
        <f>E851*0.19</f>
        <v>161761.44</v>
      </c>
      <c r="G851" s="6">
        <f>E851+F851</f>
        <v>1013137.44</v>
      </c>
      <c r="H851" s="7">
        <f>IF(J851=TRUE(),E851,0)</f>
        <v>851376</v>
      </c>
      <c r="I851" s="7">
        <f>IF(K851=TRUE(),E851,0)</f>
        <v>0</v>
      </c>
      <c r="J851" t="b" s="4">
        <v>1</v>
      </c>
      <c r="K851" t="b" s="4">
        <v>0</v>
      </c>
    </row>
    <row r="852" ht="17" customHeight="1">
      <c r="A852" s="4">
        <v>734</v>
      </c>
      <c r="B852" s="5">
        <v>41487</v>
      </c>
      <c r="C852" t="s" s="3">
        <v>33</v>
      </c>
      <c r="D852" t="s" s="3">
        <v>399</v>
      </c>
      <c r="E852" s="6">
        <v>42695</v>
      </c>
      <c r="F852" s="6">
        <f>E852*0.19</f>
        <v>8112.05</v>
      </c>
      <c r="G852" s="6">
        <f>E852+F852</f>
        <v>50807.05</v>
      </c>
      <c r="H852" s="7">
        <f>IF(J852=TRUE(),E852,0)</f>
        <v>42695</v>
      </c>
      <c r="I852" s="7">
        <f>IF(K852=TRUE(),E852,0)</f>
        <v>0</v>
      </c>
      <c r="J852" t="b" s="4">
        <v>1</v>
      </c>
      <c r="K852" t="b" s="4">
        <v>0</v>
      </c>
    </row>
    <row r="853" ht="17" customHeight="1">
      <c r="A853" s="4">
        <v>735</v>
      </c>
      <c r="B853" s="5">
        <v>41487</v>
      </c>
      <c r="C853" t="s" s="3">
        <v>33</v>
      </c>
      <c r="D853" t="s" s="3">
        <v>400</v>
      </c>
      <c r="E853" s="6">
        <v>952145</v>
      </c>
      <c r="F853" s="6">
        <f>E853*0.19</f>
        <v>180907.55</v>
      </c>
      <c r="G853" s="6">
        <f>E853+F853</f>
        <v>1133052.55</v>
      </c>
      <c r="H853" s="7">
        <f>IF(J853=TRUE(),E853,0)</f>
        <v>952145</v>
      </c>
      <c r="I853" s="7">
        <f>IF(K853=TRUE(),E853,0)</f>
        <v>0</v>
      </c>
      <c r="J853" t="b" s="4">
        <v>1</v>
      </c>
      <c r="K853" t="b" s="4">
        <v>0</v>
      </c>
    </row>
    <row r="854" ht="17" customHeight="1">
      <c r="A854" s="4">
        <v>736</v>
      </c>
      <c r="B854" s="5">
        <v>41487</v>
      </c>
      <c r="C854" t="s" s="3">
        <v>33</v>
      </c>
      <c r="D854" t="s" s="3">
        <v>401</v>
      </c>
      <c r="E854" s="6">
        <v>42695</v>
      </c>
      <c r="F854" s="6">
        <f>E854*0.19</f>
        <v>8112.05</v>
      </c>
      <c r="G854" s="6">
        <f>E854+F854</f>
        <v>50807.05</v>
      </c>
      <c r="H854" s="7">
        <f>IF(J854=TRUE(),E854,0)</f>
        <v>42695</v>
      </c>
      <c r="I854" s="7">
        <f>IF(K854=TRUE(),E854,0)</f>
        <v>0</v>
      </c>
      <c r="J854" t="b" s="4">
        <v>1</v>
      </c>
      <c r="K854" t="b" s="4">
        <v>0</v>
      </c>
    </row>
    <row r="855" ht="17" customHeight="1">
      <c r="A855" s="4">
        <v>737</v>
      </c>
      <c r="B855" s="5">
        <v>41487</v>
      </c>
      <c r="C855" t="s" s="3">
        <v>33</v>
      </c>
      <c r="D855" t="s" s="3">
        <v>402</v>
      </c>
      <c r="E855" s="6">
        <v>892464</v>
      </c>
      <c r="F855" s="6">
        <f>E855*0.19</f>
        <v>169568.16</v>
      </c>
      <c r="G855" s="6">
        <f>E855+F855</f>
        <v>1062032.16</v>
      </c>
      <c r="H855" s="7">
        <f>IF(J855=TRUE(),E855,0)</f>
        <v>892464</v>
      </c>
      <c r="I855" s="7">
        <f>IF(K855=TRUE(),E855,0)</f>
        <v>0</v>
      </c>
      <c r="J855" t="b" s="4">
        <v>1</v>
      </c>
      <c r="K855" t="b" s="4">
        <v>0</v>
      </c>
    </row>
    <row r="856" ht="17" customHeight="1">
      <c r="A856" s="4">
        <v>738</v>
      </c>
      <c r="B856" s="5">
        <v>41487</v>
      </c>
      <c r="C856" t="s" s="3">
        <v>33</v>
      </c>
      <c r="D856" t="s" s="3">
        <v>403</v>
      </c>
      <c r="E856" s="6">
        <v>42695</v>
      </c>
      <c r="F856" s="6">
        <f>E856*0.19</f>
        <v>8112.05</v>
      </c>
      <c r="G856" s="6">
        <f>E856+F856</f>
        <v>50807.05</v>
      </c>
      <c r="H856" s="7">
        <f>IF(J856=TRUE(),E856,0)</f>
        <v>42695</v>
      </c>
      <c r="I856" s="7">
        <f>IF(K856=TRUE(),E856,0)</f>
        <v>0</v>
      </c>
      <c r="J856" t="b" s="4">
        <v>1</v>
      </c>
      <c r="K856" t="b" s="4">
        <v>0</v>
      </c>
    </row>
    <row r="857" ht="17" customHeight="1">
      <c r="A857" s="4">
        <v>739</v>
      </c>
      <c r="B857" s="5">
        <v>41487</v>
      </c>
      <c r="C857" t="s" s="3">
        <v>307</v>
      </c>
      <c r="D857" t="s" s="3">
        <v>404</v>
      </c>
      <c r="E857" s="6">
        <v>513000</v>
      </c>
      <c r="F857" s="6">
        <f>E857*0.19</f>
        <v>97470</v>
      </c>
      <c r="G857" s="6">
        <f>E857+F857</f>
        <v>610470</v>
      </c>
      <c r="H857" s="7">
        <f>IF(J857=TRUE(),E857,0)</f>
        <v>0</v>
      </c>
      <c r="I857" s="7">
        <f>IF(K857=TRUE(),E857,0)</f>
        <v>0</v>
      </c>
      <c r="J857" t="b" s="4">
        <v>0</v>
      </c>
      <c r="K857" t="b" s="4">
        <v>0</v>
      </c>
    </row>
    <row r="858" ht="17" customHeight="1">
      <c r="A858" s="4">
        <v>740</v>
      </c>
      <c r="B858" s="5">
        <v>41487</v>
      </c>
      <c r="C858" t="s" s="3">
        <v>307</v>
      </c>
      <c r="D858" t="s" s="3">
        <v>405</v>
      </c>
      <c r="E858" s="6">
        <v>150000</v>
      </c>
      <c r="F858" s="6">
        <f>E858*0.19</f>
        <v>28500</v>
      </c>
      <c r="G858" s="6">
        <f>E858+F858</f>
        <v>178500</v>
      </c>
      <c r="H858" s="7">
        <f>IF(J858=TRUE(),E858,0)</f>
        <v>0</v>
      </c>
      <c r="I858" s="7">
        <f>IF(K858=TRUE(),E858,0)</f>
        <v>0</v>
      </c>
      <c r="J858" t="b" s="4">
        <v>0</v>
      </c>
      <c r="K858" t="b" s="4">
        <v>0</v>
      </c>
    </row>
    <row r="859" ht="17" customHeight="1">
      <c r="A859" s="4">
        <v>741</v>
      </c>
      <c r="B859" s="5">
        <v>41487</v>
      </c>
      <c r="C859" t="s" s="3">
        <v>66</v>
      </c>
      <c r="D859" t="s" s="3">
        <v>159</v>
      </c>
      <c r="E859" s="6">
        <v>140021</v>
      </c>
      <c r="F859" s="6">
        <f>E859*0.19</f>
        <v>26603.99</v>
      </c>
      <c r="G859" s="6">
        <f>E859+F859</f>
        <v>166624.99</v>
      </c>
      <c r="H859" s="7">
        <f>IF(J859=TRUE(),E859,0)</f>
        <v>140021</v>
      </c>
      <c r="I859" s="7">
        <f>IF(K859=TRUE(),E859,0)</f>
        <v>0</v>
      </c>
      <c r="J859" t="b" s="4">
        <v>1</v>
      </c>
      <c r="K859" t="b" s="4">
        <v>0</v>
      </c>
    </row>
    <row r="860" ht="17" customHeight="1">
      <c r="A860" s="4">
        <v>742</v>
      </c>
      <c r="B860" s="5">
        <v>41487</v>
      </c>
      <c r="C860" t="s" s="3">
        <v>40</v>
      </c>
      <c r="D860" t="s" s="3">
        <v>159</v>
      </c>
      <c r="E860" s="6">
        <v>158000</v>
      </c>
      <c r="F860" s="6">
        <f>E860*0.19</f>
        <v>30020</v>
      </c>
      <c r="G860" s="6">
        <f>E860+F860</f>
        <v>188020</v>
      </c>
      <c r="H860" s="7">
        <f>IF(J860=TRUE(),E860,0)</f>
        <v>158000</v>
      </c>
      <c r="I860" s="7">
        <f>IF(K860=TRUE(),E860,0)</f>
        <v>0</v>
      </c>
      <c r="J860" t="b" s="4">
        <v>1</v>
      </c>
      <c r="K860" t="b" s="4">
        <v>0</v>
      </c>
    </row>
    <row r="861" ht="17" customHeight="1">
      <c r="A861" s="4">
        <v>743</v>
      </c>
      <c r="B861" s="5">
        <v>41487</v>
      </c>
      <c r="C861" t="s" s="3">
        <v>22</v>
      </c>
      <c r="D861" t="s" s="3">
        <v>159</v>
      </c>
      <c r="E861" s="6">
        <v>159762</v>
      </c>
      <c r="F861" s="6">
        <f>E861*0.19</f>
        <v>30354.78</v>
      </c>
      <c r="G861" s="6">
        <f>E861+F861</f>
        <v>190116.78</v>
      </c>
      <c r="H861" s="7">
        <f>IF(J861=TRUE(),E861,0)</f>
        <v>159762</v>
      </c>
      <c r="I861" s="7">
        <f>IF(K861=TRUE(),E861,0)</f>
        <v>0</v>
      </c>
      <c r="J861" t="b" s="4">
        <v>1</v>
      </c>
      <c r="K861" t="b" s="4">
        <v>0</v>
      </c>
    </row>
    <row r="862" ht="17" customHeight="1">
      <c r="A862" s="4">
        <v>744</v>
      </c>
      <c r="B862" s="5">
        <v>41487</v>
      </c>
      <c r="C862" t="s" s="3">
        <v>268</v>
      </c>
      <c r="D862" t="s" s="3">
        <v>159</v>
      </c>
      <c r="E862" s="6">
        <v>51647</v>
      </c>
      <c r="F862" s="6">
        <f>E862*0.19</f>
        <v>9812.93</v>
      </c>
      <c r="G862" s="6">
        <f>E862+F862</f>
        <v>61459.93</v>
      </c>
      <c r="H862" s="7">
        <f>IF(J862=TRUE(),E862,0)</f>
        <v>51647</v>
      </c>
      <c r="I862" s="7">
        <f>IF(K862=TRUE(),E862,0)</f>
        <v>0</v>
      </c>
      <c r="J862" t="b" s="4">
        <v>1</v>
      </c>
      <c r="K862" t="b" s="4">
        <v>0</v>
      </c>
    </row>
    <row r="863" ht="17" customHeight="1">
      <c r="A863" s="4">
        <v>745</v>
      </c>
      <c r="B863" s="5">
        <v>41487</v>
      </c>
      <c r="C863" t="s" s="3">
        <v>34</v>
      </c>
      <c r="D863" t="s" s="3">
        <v>159</v>
      </c>
      <c r="E863" s="6">
        <v>53713</v>
      </c>
      <c r="F863" s="6">
        <f>E863*0.19</f>
        <v>10205.47</v>
      </c>
      <c r="G863" s="6">
        <f>E863+F863</f>
        <v>63918.47</v>
      </c>
      <c r="H863" s="7">
        <f>IF(J863=TRUE(),E863,0)</f>
        <v>53713</v>
      </c>
      <c r="I863" s="7">
        <f>IF(K863=TRUE(),E863,0)</f>
        <v>0</v>
      </c>
      <c r="J863" t="b" s="4">
        <v>1</v>
      </c>
      <c r="K863" t="b" s="4">
        <v>0</v>
      </c>
    </row>
    <row r="864" ht="17" customHeight="1">
      <c r="A864" s="4">
        <v>746</v>
      </c>
      <c r="B864" s="5">
        <v>41487</v>
      </c>
      <c r="C864" t="s" s="3">
        <v>60</v>
      </c>
      <c r="D864" t="s" s="3">
        <v>159</v>
      </c>
      <c r="E864" s="6">
        <v>69781</v>
      </c>
      <c r="F864" s="6">
        <f>E864*0.19</f>
        <v>13258.39</v>
      </c>
      <c r="G864" s="6">
        <f>E864+F864</f>
        <v>83039.39</v>
      </c>
      <c r="H864" s="7">
        <f>IF(J864=TRUE(),E864,0)</f>
        <v>69781</v>
      </c>
      <c r="I864" s="7">
        <f>IF(K864=TRUE(),E864,0)</f>
        <v>0</v>
      </c>
      <c r="J864" t="b" s="4">
        <v>1</v>
      </c>
      <c r="K864" t="b" s="4">
        <v>0</v>
      </c>
    </row>
    <row r="865" ht="17" customHeight="1">
      <c r="A865" s="4">
        <v>747</v>
      </c>
      <c r="B865" s="5">
        <v>41487</v>
      </c>
      <c r="C865" t="s" s="3">
        <v>42</v>
      </c>
      <c r="D865" t="s" s="3">
        <v>159</v>
      </c>
      <c r="E865" s="6">
        <v>250891</v>
      </c>
      <c r="F865" s="6">
        <f>E865*0.19</f>
        <v>47669.29</v>
      </c>
      <c r="G865" s="6">
        <f>E865+F865</f>
        <v>298560.29</v>
      </c>
      <c r="H865" s="7">
        <f>IF(J865=TRUE(),E865,0)</f>
        <v>250891</v>
      </c>
      <c r="I865" s="7">
        <f>IF(K865=TRUE(),E865,0)</f>
        <v>0</v>
      </c>
      <c r="J865" t="b" s="4">
        <v>1</v>
      </c>
      <c r="K865" t="b" s="4">
        <v>0</v>
      </c>
    </row>
    <row r="866" ht="17" customHeight="1">
      <c r="A866" s="4">
        <v>748</v>
      </c>
      <c r="B866" s="5">
        <v>41487</v>
      </c>
      <c r="C866" t="s" s="3">
        <v>384</v>
      </c>
      <c r="D866" t="s" s="3">
        <v>159</v>
      </c>
      <c r="E866" s="6">
        <v>40170</v>
      </c>
      <c r="F866" s="6">
        <f>E866*0.19</f>
        <v>7632.3</v>
      </c>
      <c r="G866" s="6">
        <f>E866+F866</f>
        <v>47802.3</v>
      </c>
      <c r="H866" s="7">
        <f>IF(J866=TRUE(),E866,0)</f>
        <v>40170</v>
      </c>
      <c r="I866" s="7">
        <f>IF(K866=TRUE(),E866,0)</f>
        <v>0</v>
      </c>
      <c r="J866" t="b" s="4">
        <v>1</v>
      </c>
      <c r="K866" t="b" s="4">
        <v>0</v>
      </c>
    </row>
    <row r="867" ht="17" customHeight="1">
      <c r="A867" s="4">
        <v>749</v>
      </c>
      <c r="B867" s="5">
        <v>41487</v>
      </c>
      <c r="C867" t="s" s="3">
        <v>357</v>
      </c>
      <c r="D867" t="s" s="3">
        <v>159</v>
      </c>
      <c r="E867" s="6">
        <v>323656</v>
      </c>
      <c r="F867" s="6">
        <f>E867*0.19</f>
        <v>61494.64</v>
      </c>
      <c r="G867" s="6">
        <f>E867+F867</f>
        <v>385150.64</v>
      </c>
      <c r="H867" s="7">
        <f>IF(J867=TRUE(),E867,0)</f>
        <v>323656</v>
      </c>
      <c r="I867" s="7">
        <f>IF(K867=TRUE(),E867,0)</f>
        <v>0</v>
      </c>
      <c r="J867" t="b" s="4">
        <v>1</v>
      </c>
      <c r="K867" t="b" s="4">
        <v>0</v>
      </c>
    </row>
    <row r="868" ht="17" customHeight="1">
      <c r="A868" s="4">
        <v>750</v>
      </c>
      <c r="B868" s="5">
        <v>41487</v>
      </c>
      <c r="C868" t="s" s="3">
        <v>230</v>
      </c>
      <c r="D868" t="s" s="3">
        <v>159</v>
      </c>
      <c r="E868" s="6">
        <v>229543</v>
      </c>
      <c r="F868" s="6">
        <f>E868*0.19</f>
        <v>43613.17</v>
      </c>
      <c r="G868" s="6">
        <f>E868+F868</f>
        <v>273156.17</v>
      </c>
      <c r="H868" s="7">
        <f>IF(J868=TRUE(),E868,0)</f>
        <v>229543</v>
      </c>
      <c r="I868" s="7">
        <f>IF(K868=TRUE(),E868,0)</f>
        <v>0</v>
      </c>
      <c r="J868" t="b" s="4">
        <v>1</v>
      </c>
      <c r="K868" t="b" s="4">
        <v>0</v>
      </c>
    </row>
    <row r="869" ht="17" customHeight="1">
      <c r="A869" s="4">
        <v>751</v>
      </c>
      <c r="B869" s="5">
        <v>41487</v>
      </c>
      <c r="C869" t="s" s="3">
        <v>216</v>
      </c>
      <c r="D869" t="s" s="3">
        <v>159</v>
      </c>
      <c r="E869" s="6">
        <v>224034</v>
      </c>
      <c r="F869" s="6">
        <f>E869*0.19</f>
        <v>42566.46</v>
      </c>
      <c r="G869" s="6">
        <f>E869+F869</f>
        <v>266600.46</v>
      </c>
      <c r="H869" s="7">
        <f>IF(J869=TRUE(),E869,0)</f>
        <v>224034</v>
      </c>
      <c r="I869" s="7">
        <f>IF(K869=TRUE(),E869,0)</f>
        <v>0</v>
      </c>
      <c r="J869" t="b" s="4">
        <v>1</v>
      </c>
      <c r="K869" t="b" s="4">
        <v>0</v>
      </c>
    </row>
    <row r="870" ht="17" customHeight="1">
      <c r="A870" s="4">
        <v>752</v>
      </c>
      <c r="B870" s="5">
        <v>41487</v>
      </c>
      <c r="C870" t="s" s="3">
        <v>216</v>
      </c>
      <c r="D870" t="s" s="3">
        <v>159</v>
      </c>
      <c r="E870" s="6">
        <v>75749</v>
      </c>
      <c r="F870" s="6">
        <f>E870*0.19</f>
        <v>14392.31</v>
      </c>
      <c r="G870" s="6">
        <f>E870+F870</f>
        <v>90141.31</v>
      </c>
      <c r="H870" s="7">
        <f>IF(J870=TRUE(),E870,0)</f>
        <v>75749</v>
      </c>
      <c r="I870" s="7">
        <f>IF(K870=TRUE(),E870,0)</f>
        <v>0</v>
      </c>
      <c r="J870" t="b" s="4">
        <v>1</v>
      </c>
      <c r="K870" t="b" s="4">
        <v>0</v>
      </c>
    </row>
    <row r="871" ht="17" customHeight="1">
      <c r="A871" s="4">
        <v>753</v>
      </c>
      <c r="B871" s="5">
        <v>41487</v>
      </c>
      <c r="C871" t="s" s="3">
        <v>90</v>
      </c>
      <c r="D871" t="s" s="3">
        <v>159</v>
      </c>
      <c r="E871" s="6">
        <v>26168</v>
      </c>
      <c r="F871" s="6">
        <f>E871*0.19</f>
        <v>4971.92</v>
      </c>
      <c r="G871" s="6">
        <f>E871+F871</f>
        <v>31139.92</v>
      </c>
      <c r="H871" s="7">
        <f>IF(J871=TRUE(),E871,0)</f>
        <v>26168</v>
      </c>
      <c r="I871" s="7">
        <f>IF(K871=TRUE(),E871,0)</f>
        <v>0</v>
      </c>
      <c r="J871" t="b" s="4">
        <v>1</v>
      </c>
      <c r="K871" t="b" s="4">
        <v>0</v>
      </c>
    </row>
    <row r="872" ht="17" customHeight="1">
      <c r="A872" s="4">
        <v>754</v>
      </c>
      <c r="B872" s="5">
        <v>41487</v>
      </c>
      <c r="C872" t="s" s="3">
        <v>183</v>
      </c>
      <c r="D872" t="s" s="3">
        <v>159</v>
      </c>
      <c r="E872" s="6">
        <v>67486</v>
      </c>
      <c r="F872" s="6">
        <f>E872*0.19</f>
        <v>12822.34</v>
      </c>
      <c r="G872" s="6">
        <f>E872+F872</f>
        <v>80308.34</v>
      </c>
      <c r="H872" s="7">
        <f>IF(J872=TRUE(),E872,0)</f>
        <v>67486</v>
      </c>
      <c r="I872" s="7">
        <f>IF(K872=TRUE(),E872,0)</f>
        <v>0</v>
      </c>
      <c r="J872" t="b" s="4">
        <v>1</v>
      </c>
      <c r="K872" t="b" s="4">
        <v>0</v>
      </c>
    </row>
    <row r="873" ht="17" customHeight="1">
      <c r="A873" s="4">
        <v>755</v>
      </c>
      <c r="B873" s="5">
        <v>41487</v>
      </c>
      <c r="C873" t="s" s="3">
        <v>120</v>
      </c>
      <c r="D873" t="s" s="3">
        <v>159</v>
      </c>
      <c r="E873" s="6">
        <v>424884</v>
      </c>
      <c r="F873" s="6">
        <f>E873*0.19</f>
        <v>80727.960000000006</v>
      </c>
      <c r="G873" s="6">
        <f>E873+F873</f>
        <v>505611.96</v>
      </c>
      <c r="H873" s="7">
        <f>IF(J873=TRUE(),E873,0)</f>
        <v>424884</v>
      </c>
      <c r="I873" s="7">
        <f>IF(K873=TRUE(),E873,0)</f>
        <v>0</v>
      </c>
      <c r="J873" t="b" s="4">
        <v>1</v>
      </c>
      <c r="K873" t="b" s="4">
        <v>0</v>
      </c>
    </row>
    <row r="874" ht="17" customHeight="1">
      <c r="A874" s="4">
        <v>756</v>
      </c>
      <c r="B874" s="5">
        <v>41487</v>
      </c>
      <c r="C874" t="s" s="3">
        <v>127</v>
      </c>
      <c r="D874" t="s" s="3">
        <v>159</v>
      </c>
      <c r="E874" s="6">
        <v>530015</v>
      </c>
      <c r="F874" s="6">
        <f>E874*0.19</f>
        <v>100702.85</v>
      </c>
      <c r="G874" s="6">
        <f>E874+F874</f>
        <v>630717.85</v>
      </c>
      <c r="H874" s="7">
        <f>IF(J874=TRUE(),E874,0)</f>
        <v>530015</v>
      </c>
      <c r="I874" s="7">
        <f>IF(K874=TRUE(),E874,0)</f>
        <v>0</v>
      </c>
      <c r="J874" t="b" s="4">
        <v>1</v>
      </c>
      <c r="K874" t="b" s="4">
        <v>0</v>
      </c>
    </row>
    <row r="875" ht="17" customHeight="1">
      <c r="A875" s="4">
        <v>757</v>
      </c>
      <c r="B875" s="5">
        <v>41487</v>
      </c>
      <c r="C875" t="s" s="3">
        <v>36</v>
      </c>
      <c r="D875" t="s" s="3">
        <v>159</v>
      </c>
      <c r="E875" s="6">
        <v>156089</v>
      </c>
      <c r="F875" s="6">
        <f>E875*0.19</f>
        <v>29656.91</v>
      </c>
      <c r="G875" s="6">
        <f>E875+F875</f>
        <v>185745.91</v>
      </c>
      <c r="H875" s="7">
        <f>IF(J875=TRUE(),E875,0)</f>
        <v>156089</v>
      </c>
      <c r="I875" s="7">
        <f>IF(K875=TRUE(),E875,0)</f>
        <v>0</v>
      </c>
      <c r="J875" t="b" s="4">
        <v>1</v>
      </c>
      <c r="K875" t="b" s="4">
        <v>0</v>
      </c>
    </row>
    <row r="876" ht="17.5" customHeight="1">
      <c r="A876" s="9">
        <v>758</v>
      </c>
      <c r="B876" s="5">
        <v>41487</v>
      </c>
      <c r="C876" t="s" s="10">
        <v>33</v>
      </c>
      <c r="D876" t="s" s="10">
        <v>159</v>
      </c>
      <c r="E876" s="11">
        <v>952145</v>
      </c>
      <c r="F876" s="11">
        <f>E876*0.19</f>
        <v>180907.55</v>
      </c>
      <c r="G876" s="11">
        <f>E876+F876</f>
        <v>1133052.55</v>
      </c>
      <c r="H876" s="12">
        <f>IF(J876=TRUE(),E876,0)</f>
        <v>952145</v>
      </c>
      <c r="I876" s="12">
        <f>IF(K876=TRUE(),E876,0)</f>
        <v>0</v>
      </c>
      <c r="J876" t="b" s="9">
        <v>1</v>
      </c>
      <c r="K876" t="b" s="9">
        <v>0</v>
      </c>
    </row>
    <row r="877" ht="18" customHeight="1">
      <c r="A877" s="13">
        <f>COUNT(A840:A876)</f>
        <v>37</v>
      </c>
      <c r="B877" t="s" s="3">
        <v>406</v>
      </c>
      <c r="C877" t="s" s="14">
        <v>7</v>
      </c>
      <c r="D877" s="14"/>
      <c r="E877" s="15">
        <f>SUM(E840:E876)</f>
        <v>12220222</v>
      </c>
      <c r="F877" s="15">
        <f>SUM(F840:F876)</f>
        <v>2321842.18</v>
      </c>
      <c r="G877" s="16">
        <f>SUM(G840:G876)</f>
        <v>14542064.18</v>
      </c>
      <c r="H877" s="17">
        <f>SUM(H840:H876)</f>
        <v>11407222</v>
      </c>
      <c r="I877" s="17"/>
      <c r="J877" s="18">
        <f>COUNTIF(J840:J876,TRUE())</f>
        <v>34</v>
      </c>
      <c r="K877" s="19"/>
    </row>
    <row r="878" ht="17.5" customHeight="1">
      <c r="A878" s="20"/>
      <c r="B878" s="5"/>
      <c r="C878" s="20"/>
      <c r="D878" s="21"/>
      <c r="E878" s="20"/>
      <c r="F878" s="20"/>
      <c r="G878" s="20"/>
      <c r="H878" s="22"/>
      <c r="I878" s="22"/>
      <c r="J878" s="20"/>
      <c r="K878" s="20"/>
    </row>
    <row r="879" ht="17" customHeight="1">
      <c r="A879" t="s" s="3">
        <v>1</v>
      </c>
      <c r="B879" t="s" s="3">
        <v>2</v>
      </c>
      <c r="C879" t="s" s="3">
        <v>3</v>
      </c>
      <c r="D879" t="s" s="3">
        <v>4</v>
      </c>
      <c r="E879" t="s" s="3">
        <v>5</v>
      </c>
      <c r="F879" t="s" s="3">
        <v>6</v>
      </c>
      <c r="G879" t="s" s="3">
        <v>7</v>
      </c>
      <c r="H879" s="7"/>
      <c r="I879" s="7"/>
      <c r="J879" s="8"/>
      <c r="K879" s="8"/>
    </row>
    <row r="880" ht="17" customHeight="1">
      <c r="A880" s="4">
        <v>759</v>
      </c>
      <c r="B880" s="5">
        <v>41518</v>
      </c>
      <c r="C880" t="s" s="3">
        <v>66</v>
      </c>
      <c r="D880" t="s" s="3">
        <v>180</v>
      </c>
      <c r="E880" s="6">
        <v>140550</v>
      </c>
      <c r="F880" s="6">
        <f>E880*0.19</f>
        <v>26704.5</v>
      </c>
      <c r="G880" s="6">
        <f>E880+F880</f>
        <v>167254.5</v>
      </c>
      <c r="H880" s="7">
        <f>IF(J880=TRUE(),E880,0)</f>
        <v>140550</v>
      </c>
      <c r="I880" s="7">
        <f>IF(K880=TRUE(),E880,0)</f>
        <v>0</v>
      </c>
      <c r="J880" t="b" s="4">
        <v>1</v>
      </c>
      <c r="K880" t="b" s="4">
        <v>0</v>
      </c>
    </row>
    <row r="881" ht="17" customHeight="1">
      <c r="A881" s="4">
        <v>760</v>
      </c>
      <c r="B881" s="5">
        <v>41518</v>
      </c>
      <c r="C881" t="s" s="3">
        <v>40</v>
      </c>
      <c r="D881" t="s" s="3">
        <v>180</v>
      </c>
      <c r="E881" s="6">
        <v>158000</v>
      </c>
      <c r="F881" s="6">
        <f>E881*0.19</f>
        <v>30020</v>
      </c>
      <c r="G881" s="6">
        <f>E881+F881</f>
        <v>188020</v>
      </c>
      <c r="H881" s="7">
        <f>IF(J881=TRUE(),E881,0)</f>
        <v>158000</v>
      </c>
      <c r="I881" s="7">
        <f>IF(K881=TRUE(),E881,0)</f>
        <v>0</v>
      </c>
      <c r="J881" t="b" s="4">
        <v>1</v>
      </c>
      <c r="K881" t="b" s="4">
        <v>0</v>
      </c>
    </row>
    <row r="882" ht="17" customHeight="1">
      <c r="A882" s="4">
        <v>761</v>
      </c>
      <c r="B882" s="5">
        <v>41518</v>
      </c>
      <c r="C882" t="s" s="3">
        <v>22</v>
      </c>
      <c r="D882" t="s" s="3">
        <v>180</v>
      </c>
      <c r="E882" s="6">
        <v>160365</v>
      </c>
      <c r="F882" s="6">
        <f>E882*0.19</f>
        <v>30469.35</v>
      </c>
      <c r="G882" s="6">
        <f>E882+F882</f>
        <v>190834.35</v>
      </c>
      <c r="H882" s="7">
        <f>IF(J882=TRUE(),E882,0)</f>
        <v>160365</v>
      </c>
      <c r="I882" s="7">
        <f>IF(K882=TRUE(),E882,0)</f>
        <v>0</v>
      </c>
      <c r="J882" t="b" s="4">
        <v>1</v>
      </c>
      <c r="K882" t="b" s="4">
        <v>0</v>
      </c>
    </row>
    <row r="883" ht="17" customHeight="1">
      <c r="A883" s="4">
        <v>762</v>
      </c>
      <c r="B883" s="5">
        <v>41518</v>
      </c>
      <c r="C883" t="s" s="3">
        <v>268</v>
      </c>
      <c r="D883" t="s" s="3">
        <v>180</v>
      </c>
      <c r="E883" s="6">
        <v>51842</v>
      </c>
      <c r="F883" s="6">
        <f>E883*0.19</f>
        <v>9849.98</v>
      </c>
      <c r="G883" s="6">
        <f>E883+F883</f>
        <v>61691.98</v>
      </c>
      <c r="H883" s="7">
        <f>IF(J883=TRUE(),E883,0)</f>
        <v>51842</v>
      </c>
      <c r="I883" s="7">
        <f>IF(K883=TRUE(),E883,0)</f>
        <v>0</v>
      </c>
      <c r="J883" t="b" s="4">
        <v>1</v>
      </c>
      <c r="K883" t="b" s="4">
        <v>0</v>
      </c>
    </row>
    <row r="884" ht="17" customHeight="1">
      <c r="A884" s="4">
        <v>763</v>
      </c>
      <c r="B884" s="5">
        <v>41518</v>
      </c>
      <c r="C884" t="s" s="3">
        <v>60</v>
      </c>
      <c r="D884" t="s" s="3">
        <v>180</v>
      </c>
      <c r="E884" s="6">
        <v>70044</v>
      </c>
      <c r="F884" s="6">
        <f>E884*0.19</f>
        <v>13308.36</v>
      </c>
      <c r="G884" s="6">
        <f>E884+F884</f>
        <v>83352.36</v>
      </c>
      <c r="H884" s="7">
        <f>IF(J884=TRUE(),E884,0)</f>
        <v>70044</v>
      </c>
      <c r="I884" s="7">
        <f>IF(K884=TRUE(),E884,0)</f>
        <v>0</v>
      </c>
      <c r="J884" t="b" s="4">
        <v>1</v>
      </c>
      <c r="K884" t="b" s="4">
        <v>0</v>
      </c>
    </row>
    <row r="885" ht="17" customHeight="1">
      <c r="A885" s="4">
        <v>764</v>
      </c>
      <c r="B885" s="5">
        <v>41518</v>
      </c>
      <c r="C885" t="s" s="3">
        <v>34</v>
      </c>
      <c r="D885" t="s" s="3">
        <v>180</v>
      </c>
      <c r="E885" s="6">
        <v>53916</v>
      </c>
      <c r="F885" s="6">
        <f>E885*0.19</f>
        <v>10244.04</v>
      </c>
      <c r="G885" s="6">
        <f>E885+F885</f>
        <v>64160.04</v>
      </c>
      <c r="H885" s="7">
        <f>IF(J885=TRUE(),E885,0)</f>
        <v>53916</v>
      </c>
      <c r="I885" s="7">
        <f>IF(K885=TRUE(),E885,0)</f>
        <v>0</v>
      </c>
      <c r="J885" t="b" s="4">
        <v>1</v>
      </c>
      <c r="K885" t="b" s="4">
        <v>0</v>
      </c>
    </row>
    <row r="886" ht="17" customHeight="1">
      <c r="A886" s="4">
        <v>765</v>
      </c>
      <c r="B886" s="5">
        <v>41518</v>
      </c>
      <c r="C886" t="s" s="3">
        <v>42</v>
      </c>
      <c r="D886" t="s" s="3">
        <v>180</v>
      </c>
      <c r="E886" s="6">
        <v>250891</v>
      </c>
      <c r="F886" s="6">
        <f>E886*0.19</f>
        <v>47669.29</v>
      </c>
      <c r="G886" s="6">
        <f>E886+F886</f>
        <v>298560.29</v>
      </c>
      <c r="H886" s="7">
        <f>IF(J886=TRUE(),E886,0)</f>
        <v>250891</v>
      </c>
      <c r="I886" s="7">
        <f>IF(K886=TRUE(),E886,0)</f>
        <v>0</v>
      </c>
      <c r="J886" t="b" s="4">
        <v>1</v>
      </c>
      <c r="K886" t="b" s="4">
        <v>0</v>
      </c>
    </row>
    <row r="887" ht="17" customHeight="1">
      <c r="A887" s="4">
        <v>766</v>
      </c>
      <c r="B887" s="5">
        <v>41518</v>
      </c>
      <c r="C887" t="s" s="3">
        <v>384</v>
      </c>
      <c r="D887" t="s" s="3">
        <v>180</v>
      </c>
      <c r="E887" s="6">
        <v>40322</v>
      </c>
      <c r="F887" s="6">
        <f>E887*0.19</f>
        <v>7661.18</v>
      </c>
      <c r="G887" s="6">
        <f>E887+F887</f>
        <v>47983.18</v>
      </c>
      <c r="H887" s="7">
        <f>IF(J887=TRUE(),E887,0)</f>
        <v>40322</v>
      </c>
      <c r="I887" s="7">
        <f>IF(K887=TRUE(),E887,0)</f>
        <v>0</v>
      </c>
      <c r="J887" t="b" s="4">
        <v>1</v>
      </c>
      <c r="K887" t="b" s="4">
        <v>0</v>
      </c>
    </row>
    <row r="888" ht="17" customHeight="1">
      <c r="A888" s="4">
        <v>767</v>
      </c>
      <c r="B888" s="5">
        <v>41518</v>
      </c>
      <c r="C888" t="s" s="3">
        <v>357</v>
      </c>
      <c r="D888" t="s" s="3">
        <v>180</v>
      </c>
      <c r="E888" s="6">
        <v>324877</v>
      </c>
      <c r="F888" s="6">
        <f>E888*0.19</f>
        <v>61726.63</v>
      </c>
      <c r="G888" s="6">
        <f>E888+F888</f>
        <v>386603.63</v>
      </c>
      <c r="H888" s="7">
        <f>IF(J888=TRUE(),E888,0)</f>
        <v>324877</v>
      </c>
      <c r="I888" s="7">
        <f>IF(K888=TRUE(),E888,0)</f>
        <v>0</v>
      </c>
      <c r="J888" t="b" s="4">
        <v>1</v>
      </c>
      <c r="K888" t="b" s="4">
        <v>0</v>
      </c>
    </row>
    <row r="889" ht="17" customHeight="1">
      <c r="A889" s="4">
        <v>768</v>
      </c>
      <c r="B889" s="5">
        <v>41518</v>
      </c>
      <c r="C889" t="s" s="3">
        <v>230</v>
      </c>
      <c r="D889" t="s" s="3">
        <v>180</v>
      </c>
      <c r="E889" s="6">
        <v>23041</v>
      </c>
      <c r="F889" s="6">
        <f>E889*0.19</f>
        <v>4377.79</v>
      </c>
      <c r="G889" s="6">
        <f>E889+F889</f>
        <v>27418.79</v>
      </c>
      <c r="H889" s="7">
        <f>IF(J889=TRUE(),E889,0)</f>
        <v>23041</v>
      </c>
      <c r="I889" s="7">
        <f>IF(K889=TRUE(),E889,0)</f>
        <v>0</v>
      </c>
      <c r="J889" t="b" s="4">
        <v>1</v>
      </c>
      <c r="K889" t="b" s="4">
        <v>0</v>
      </c>
    </row>
    <row r="890" ht="17" customHeight="1">
      <c r="A890" s="4">
        <v>769</v>
      </c>
      <c r="B890" s="5">
        <v>41518</v>
      </c>
      <c r="C890" t="s" s="3">
        <v>216</v>
      </c>
      <c r="D890" t="s" s="3">
        <v>180</v>
      </c>
      <c r="E890" s="6">
        <v>224880</v>
      </c>
      <c r="F890" s="6">
        <f>E890*0.19</f>
        <v>42727.2</v>
      </c>
      <c r="G890" s="6">
        <f>E890+F890</f>
        <v>267607.2</v>
      </c>
      <c r="H890" s="7">
        <f>IF(J890=TRUE(),E890,0)</f>
        <v>224880</v>
      </c>
      <c r="I890" s="7">
        <f>IF(K890=TRUE(),E890,0)</f>
        <v>0</v>
      </c>
      <c r="J890" t="b" s="4">
        <v>1</v>
      </c>
      <c r="K890" t="b" s="4">
        <v>0</v>
      </c>
    </row>
    <row r="891" ht="17" customHeight="1">
      <c r="A891" s="4">
        <v>770</v>
      </c>
      <c r="B891" s="5">
        <v>41518</v>
      </c>
      <c r="C891" t="s" s="3">
        <v>216</v>
      </c>
      <c r="D891" t="s" s="3">
        <v>180</v>
      </c>
      <c r="E891" s="6">
        <v>76035</v>
      </c>
      <c r="F891" s="6">
        <f>E891*0.19</f>
        <v>14446.65</v>
      </c>
      <c r="G891" s="6">
        <f>E891+F891</f>
        <v>90481.649999999994</v>
      </c>
      <c r="H891" s="7">
        <f>IF(J891=TRUE(),E891,0)</f>
        <v>76035</v>
      </c>
      <c r="I891" s="7">
        <f>IF(K891=TRUE(),E891,0)</f>
        <v>0</v>
      </c>
      <c r="J891" t="b" s="4">
        <v>1</v>
      </c>
      <c r="K891" t="b" s="4">
        <v>0</v>
      </c>
    </row>
    <row r="892" ht="17" customHeight="1">
      <c r="A892" s="4">
        <v>771</v>
      </c>
      <c r="B892" s="5">
        <v>41518</v>
      </c>
      <c r="C892" t="s" s="3">
        <v>90</v>
      </c>
      <c r="D892" t="s" s="3">
        <v>180</v>
      </c>
      <c r="E892" s="6">
        <v>26267</v>
      </c>
      <c r="F892" s="6">
        <f>E892*0.19</f>
        <v>4990.73</v>
      </c>
      <c r="G892" s="6">
        <f>E892+F892</f>
        <v>31257.73</v>
      </c>
      <c r="H892" s="7">
        <f>IF(J892=TRUE(),E892,0)</f>
        <v>26267</v>
      </c>
      <c r="I892" s="7">
        <f>IF(K892=TRUE(),E892,0)</f>
        <v>0</v>
      </c>
      <c r="J892" t="b" s="4">
        <v>1</v>
      </c>
      <c r="K892" t="b" s="4">
        <v>0</v>
      </c>
    </row>
    <row r="893" ht="17" customHeight="1">
      <c r="A893" s="4">
        <v>772</v>
      </c>
      <c r="B893" s="5">
        <v>41518</v>
      </c>
      <c r="C893" t="s" s="3">
        <v>183</v>
      </c>
      <c r="D893" t="s" s="3">
        <v>180</v>
      </c>
      <c r="E893" s="6">
        <v>67740</v>
      </c>
      <c r="F893" s="6">
        <f>E893*0.19</f>
        <v>12870.6</v>
      </c>
      <c r="G893" s="6">
        <f>E893+F893</f>
        <v>80610.600000000006</v>
      </c>
      <c r="H893" s="7">
        <f>IF(J893=TRUE(),E893,0)</f>
        <v>67740</v>
      </c>
      <c r="I893" s="7">
        <f>IF(K893=TRUE(),E893,0)</f>
        <v>0</v>
      </c>
      <c r="J893" t="b" s="4">
        <v>1</v>
      </c>
      <c r="K893" t="b" s="4">
        <v>0</v>
      </c>
    </row>
    <row r="894" ht="17" customHeight="1">
      <c r="A894" s="4">
        <v>773</v>
      </c>
      <c r="B894" s="5">
        <v>41518</v>
      </c>
      <c r="C894" t="s" s="3">
        <v>120</v>
      </c>
      <c r="D894" t="s" s="3">
        <v>180</v>
      </c>
      <c r="E894" s="6">
        <v>430174</v>
      </c>
      <c r="F894" s="6">
        <f>E894*0.19</f>
        <v>81733.06</v>
      </c>
      <c r="G894" s="6">
        <f>E894+F894</f>
        <v>511907.06</v>
      </c>
      <c r="H894" s="7">
        <f>IF(J894=TRUE(),E894,0)</f>
        <v>430174</v>
      </c>
      <c r="I894" s="7">
        <f>IF(K894=TRUE(),E894,0)</f>
        <v>0</v>
      </c>
      <c r="J894" t="b" s="4">
        <v>1</v>
      </c>
      <c r="K894" t="b" s="4">
        <v>0</v>
      </c>
    </row>
    <row r="895" ht="17" customHeight="1">
      <c r="A895" s="4">
        <v>774</v>
      </c>
      <c r="B895" s="5">
        <v>41518</v>
      </c>
      <c r="C895" t="s" s="3">
        <v>127</v>
      </c>
      <c r="D895" t="s" s="3">
        <v>180</v>
      </c>
      <c r="E895" s="6">
        <v>535702</v>
      </c>
      <c r="F895" s="6">
        <f>E895*0.19</f>
        <v>101783.38</v>
      </c>
      <c r="G895" s="6">
        <f>E895+F895</f>
        <v>637485.38</v>
      </c>
      <c r="H895" s="7">
        <f>IF(J895=TRUE(),E895,0)</f>
        <v>535702</v>
      </c>
      <c r="I895" s="7">
        <f>IF(K895=TRUE(),E895,0)</f>
        <v>0</v>
      </c>
      <c r="J895" t="b" s="4">
        <v>1</v>
      </c>
      <c r="K895" t="b" s="4">
        <v>0</v>
      </c>
    </row>
    <row r="896" ht="17" customHeight="1">
      <c r="A896" s="4">
        <v>775</v>
      </c>
      <c r="B896" s="5">
        <v>41518</v>
      </c>
      <c r="C896" t="s" s="3">
        <v>33</v>
      </c>
      <c r="D896" t="s" s="3">
        <v>180</v>
      </c>
      <c r="E896" s="6">
        <v>42856</v>
      </c>
      <c r="F896" s="6">
        <f>E896*0.19</f>
        <v>8142.64</v>
      </c>
      <c r="G896" s="6">
        <f>E896+F896</f>
        <v>50998.64</v>
      </c>
      <c r="H896" s="7">
        <f>IF(J896=TRUE(),E896,0)</f>
        <v>42856</v>
      </c>
      <c r="I896" s="7">
        <f>IF(K896=TRUE(),E896,0)</f>
        <v>0</v>
      </c>
      <c r="J896" t="b" s="4">
        <v>1</v>
      </c>
      <c r="K896" t="b" s="4">
        <v>0</v>
      </c>
    </row>
    <row r="897" ht="17" customHeight="1">
      <c r="A897" s="4">
        <v>776</v>
      </c>
      <c r="B897" s="5">
        <v>41518</v>
      </c>
      <c r="C897" t="s" s="3">
        <v>357</v>
      </c>
      <c r="D897" t="s" s="3">
        <v>407</v>
      </c>
      <c r="E897" s="6">
        <v>604000</v>
      </c>
      <c r="F897" s="6">
        <f>E897*0.19</f>
        <v>114760</v>
      </c>
      <c r="G897" s="6">
        <f>E897+F897</f>
        <v>718760</v>
      </c>
      <c r="H897" s="7">
        <f>IF(J897=TRUE(),E897,0)</f>
        <v>0</v>
      </c>
      <c r="I897" s="7">
        <f>IF(K897=TRUE(),E897,0)</f>
        <v>0</v>
      </c>
      <c r="J897" t="b" s="4">
        <v>0</v>
      </c>
      <c r="K897" t="b" s="4">
        <v>0</v>
      </c>
    </row>
    <row r="898" ht="17" customHeight="1">
      <c r="A898" s="4">
        <v>777</v>
      </c>
      <c r="B898" s="5">
        <v>41518</v>
      </c>
      <c r="C898" t="s" s="3">
        <v>316</v>
      </c>
      <c r="D898" t="s" s="3">
        <v>408</v>
      </c>
      <c r="E898" s="6">
        <v>172807</v>
      </c>
      <c r="F898" s="6">
        <f>E898*0.19</f>
        <v>32833.33</v>
      </c>
      <c r="G898" s="6">
        <f>E898+F898</f>
        <v>205640.33</v>
      </c>
      <c r="H898" s="7">
        <f>IF(J898=TRUE(),E898,0)</f>
        <v>0</v>
      </c>
      <c r="I898" s="7">
        <f>IF(K898=TRUE(),E898,0)</f>
        <v>0</v>
      </c>
      <c r="J898" t="b" s="4">
        <v>0</v>
      </c>
      <c r="K898" t="b" s="4">
        <v>0</v>
      </c>
    </row>
    <row r="899" ht="17" customHeight="1">
      <c r="A899" s="4">
        <v>778</v>
      </c>
      <c r="B899" s="5">
        <v>41518</v>
      </c>
      <c r="C899" t="s" s="3">
        <v>25</v>
      </c>
      <c r="D899" t="s" s="3">
        <v>236</v>
      </c>
      <c r="E899" s="6">
        <v>277500</v>
      </c>
      <c r="F899" s="6">
        <f>E899*0.19</f>
        <v>52725</v>
      </c>
      <c r="G899" s="6">
        <f>E899+F899</f>
        <v>330225</v>
      </c>
      <c r="H899" s="7">
        <f>IF(J899=TRUE(),E899,0)</f>
        <v>0</v>
      </c>
      <c r="I899" s="7">
        <f>IF(K899=TRUE(),E899,0)</f>
        <v>0</v>
      </c>
      <c r="J899" t="b" s="4">
        <v>0</v>
      </c>
      <c r="K899" t="b" s="4">
        <v>0</v>
      </c>
    </row>
    <row r="900" ht="17.5" customHeight="1">
      <c r="A900" s="9">
        <v>779</v>
      </c>
      <c r="B900" s="5">
        <v>41518</v>
      </c>
      <c r="C900" t="s" s="10">
        <v>10</v>
      </c>
      <c r="D900" t="s" s="10">
        <v>409</v>
      </c>
      <c r="E900" s="11">
        <v>123180</v>
      </c>
      <c r="F900" s="11">
        <f>E900*0.19</f>
        <v>23404.2</v>
      </c>
      <c r="G900" s="11">
        <f>E900+F900</f>
        <v>146584.2</v>
      </c>
      <c r="H900" s="12">
        <f>IF(J900=TRUE(),E900,0)</f>
        <v>0</v>
      </c>
      <c r="I900" s="12">
        <f>IF(K900=TRUE(),E900,0)</f>
        <v>0</v>
      </c>
      <c r="J900" t="b" s="9">
        <v>0</v>
      </c>
      <c r="K900" t="b" s="9">
        <v>0</v>
      </c>
    </row>
    <row r="901" ht="18" customHeight="1">
      <c r="A901" s="13">
        <f>COUNT(A880:A900)</f>
        <v>21</v>
      </c>
      <c r="B901" t="s" s="3">
        <v>410</v>
      </c>
      <c r="C901" t="s" s="14">
        <v>7</v>
      </c>
      <c r="D901" s="14"/>
      <c r="E901" s="15">
        <f>SUM(E880:E900)</f>
        <v>3854989</v>
      </c>
      <c r="F901" s="15">
        <f>SUM(F880:F900)</f>
        <v>732447.9099999999</v>
      </c>
      <c r="G901" s="16">
        <f>SUM(G880:G900)</f>
        <v>4587436.91</v>
      </c>
      <c r="H901" s="17">
        <f>SUM(H880:H900)</f>
        <v>2677502</v>
      </c>
      <c r="I901" s="17"/>
      <c r="J901" s="18">
        <f>COUNTIF(J880:J900,TRUE())</f>
        <v>17</v>
      </c>
      <c r="K901" s="19"/>
    </row>
    <row r="902" ht="17.5" customHeight="1">
      <c r="A902" s="20"/>
      <c r="B902" s="8"/>
      <c r="C902" s="20"/>
      <c r="D902" s="21"/>
      <c r="E902" s="20"/>
      <c r="F902" s="20"/>
      <c r="G902" s="20"/>
      <c r="H902" s="22"/>
      <c r="I902" s="22"/>
      <c r="J902" s="20"/>
      <c r="K902" s="20"/>
    </row>
    <row r="903" ht="17" customHeight="1">
      <c r="A903" t="s" s="3">
        <v>1</v>
      </c>
      <c r="B903" t="s" s="3">
        <v>2</v>
      </c>
      <c r="C903" t="s" s="3">
        <v>3</v>
      </c>
      <c r="D903" t="s" s="3">
        <v>4</v>
      </c>
      <c r="E903" t="s" s="3">
        <v>5</v>
      </c>
      <c r="F903" t="s" s="3">
        <v>6</v>
      </c>
      <c r="G903" t="s" s="3">
        <v>7</v>
      </c>
      <c r="H903" s="7"/>
      <c r="I903" s="7"/>
      <c r="J903" s="8"/>
      <c r="K903" s="8"/>
    </row>
    <row r="904" ht="17" customHeight="1">
      <c r="A904" t="s" s="3">
        <v>411</v>
      </c>
      <c r="B904" s="5">
        <v>41548</v>
      </c>
      <c r="C904" t="s" s="3">
        <v>230</v>
      </c>
      <c r="D904" s="3"/>
      <c r="E904" s="6">
        <v>-207833</v>
      </c>
      <c r="F904" s="6">
        <f>E904*0.19</f>
        <v>-39488.27</v>
      </c>
      <c r="G904" s="6">
        <f>E904+F904</f>
        <v>-247321.27</v>
      </c>
      <c r="H904" s="7">
        <f>IF(J904=TRUE(),E904,0)</f>
        <v>0</v>
      </c>
      <c r="I904" s="7">
        <f>IF(K904=TRUE(),E904,0)</f>
        <v>0</v>
      </c>
      <c r="J904" t="b" s="4">
        <v>0</v>
      </c>
      <c r="K904" t="b" s="4">
        <v>0</v>
      </c>
    </row>
    <row r="905" ht="17" customHeight="1">
      <c r="A905" s="4">
        <v>780</v>
      </c>
      <c r="B905" s="5">
        <v>41548</v>
      </c>
      <c r="C905" t="s" s="3">
        <v>307</v>
      </c>
      <c r="D905" t="s" s="3">
        <v>412</v>
      </c>
      <c r="E905" s="6">
        <v>513000</v>
      </c>
      <c r="F905" s="6">
        <f>E905*0.19</f>
        <v>97470</v>
      </c>
      <c r="G905" s="6">
        <f>E905+F905</f>
        <v>610470</v>
      </c>
      <c r="H905" s="7">
        <f>IF(J905=TRUE(),E905,0)</f>
        <v>0</v>
      </c>
      <c r="I905" s="7">
        <f>IF(K905=TRUE(),E905,0)</f>
        <v>0</v>
      </c>
      <c r="J905" t="b" s="4">
        <v>0</v>
      </c>
      <c r="K905" t="b" s="4">
        <v>0</v>
      </c>
    </row>
    <row r="906" ht="17" customHeight="1">
      <c r="A906" s="4">
        <v>781</v>
      </c>
      <c r="B906" s="5">
        <v>41548</v>
      </c>
      <c r="C906" t="s" s="3">
        <v>307</v>
      </c>
      <c r="D906" t="s" s="3">
        <v>413</v>
      </c>
      <c r="E906" s="6">
        <v>150000</v>
      </c>
      <c r="F906" s="6">
        <f>E906*0.19</f>
        <v>28500</v>
      </c>
      <c r="G906" s="6">
        <f>E906+F906</f>
        <v>178500</v>
      </c>
      <c r="H906" s="7">
        <f>IF(J906=TRUE(),E906,0)</f>
        <v>0</v>
      </c>
      <c r="I906" s="7">
        <f>IF(K906=TRUE(),E906,0)</f>
        <v>0</v>
      </c>
      <c r="J906" t="b" s="4">
        <v>0</v>
      </c>
      <c r="K906" t="b" s="4">
        <v>0</v>
      </c>
    </row>
    <row r="907" ht="17" customHeight="1">
      <c r="A907" s="4">
        <v>782</v>
      </c>
      <c r="B907" s="5">
        <v>41548</v>
      </c>
      <c r="C907" t="s" s="3">
        <v>25</v>
      </c>
      <c r="D907" t="s" s="3">
        <v>414</v>
      </c>
      <c r="E907" s="6">
        <v>253050</v>
      </c>
      <c r="F907" s="6">
        <f>E907*0.19</f>
        <v>48079.5</v>
      </c>
      <c r="G907" s="6">
        <f>E907+F907</f>
        <v>301129.5</v>
      </c>
      <c r="H907" s="7">
        <f>IF(J907=TRUE(),E907,0)</f>
        <v>0</v>
      </c>
      <c r="I907" s="7">
        <f>IF(K907=TRUE(),E907,0)</f>
        <v>0</v>
      </c>
      <c r="J907" t="b" s="4">
        <v>0</v>
      </c>
      <c r="K907" t="b" s="4">
        <v>0</v>
      </c>
    </row>
    <row r="908" ht="17" customHeight="1">
      <c r="A908" s="4">
        <v>783</v>
      </c>
      <c r="B908" s="5">
        <v>41548</v>
      </c>
      <c r="C908" t="s" s="3">
        <v>66</v>
      </c>
      <c r="D908" t="s" s="3">
        <v>197</v>
      </c>
      <c r="E908" s="6">
        <v>140865</v>
      </c>
      <c r="F908" s="6">
        <f>E908*0.19</f>
        <v>26764.35</v>
      </c>
      <c r="G908" s="6">
        <f>E908+F908</f>
        <v>167629.35</v>
      </c>
      <c r="H908" s="7">
        <f>IF(J908=TRUE(),E908,0)</f>
        <v>140865</v>
      </c>
      <c r="I908" s="7">
        <f>IF(K908=TRUE(),E908,0)</f>
        <v>0</v>
      </c>
      <c r="J908" t="b" s="4">
        <v>1</v>
      </c>
      <c r="K908" t="b" s="4">
        <v>0</v>
      </c>
    </row>
    <row r="909" ht="17" customHeight="1">
      <c r="A909" s="4">
        <v>784</v>
      </c>
      <c r="B909" s="5">
        <v>41548</v>
      </c>
      <c r="C909" t="s" s="3">
        <v>40</v>
      </c>
      <c r="D909" t="s" s="3">
        <v>197</v>
      </c>
      <c r="E909" s="6">
        <v>158000</v>
      </c>
      <c r="F909" s="6">
        <f>E909*0.19</f>
        <v>30020</v>
      </c>
      <c r="G909" s="6">
        <f>E909+F909</f>
        <v>188020</v>
      </c>
      <c r="H909" s="7">
        <f>IF(J909=TRUE(),E909,0)</f>
        <v>158000</v>
      </c>
      <c r="I909" s="7">
        <f>IF(K909=TRUE(),E909,0)</f>
        <v>0</v>
      </c>
      <c r="J909" t="b" s="4">
        <v>1</v>
      </c>
      <c r="K909" t="b" s="4">
        <v>0</v>
      </c>
    </row>
    <row r="910" ht="17" customHeight="1">
      <c r="A910" s="4">
        <v>785</v>
      </c>
      <c r="B910" s="5">
        <v>41548</v>
      </c>
      <c r="C910" t="s" s="3">
        <v>22</v>
      </c>
      <c r="D910" t="s" s="3">
        <v>197</v>
      </c>
      <c r="E910" s="6">
        <v>160724</v>
      </c>
      <c r="F910" s="6">
        <f>E910*0.19</f>
        <v>30537.56</v>
      </c>
      <c r="G910" s="6">
        <f>E910+F910</f>
        <v>191261.56</v>
      </c>
      <c r="H910" s="7">
        <f>IF(J910=TRUE(),E910,0)</f>
        <v>160724</v>
      </c>
      <c r="I910" s="7">
        <f>IF(K910=TRUE(),E910,0)</f>
        <v>0</v>
      </c>
      <c r="J910" t="b" s="4">
        <v>1</v>
      </c>
      <c r="K910" t="b" s="4">
        <v>0</v>
      </c>
    </row>
    <row r="911" ht="17" customHeight="1">
      <c r="A911" s="4">
        <v>786</v>
      </c>
      <c r="B911" s="5">
        <v>41548</v>
      </c>
      <c r="C911" t="s" s="3">
        <v>268</v>
      </c>
      <c r="D911" t="s" s="3">
        <v>197</v>
      </c>
      <c r="E911" s="6">
        <v>51958</v>
      </c>
      <c r="F911" s="6">
        <f>E911*0.19</f>
        <v>9872.02</v>
      </c>
      <c r="G911" s="6">
        <f>E911+F911</f>
        <v>61830.02</v>
      </c>
      <c r="H911" s="7">
        <f>IF(J911=TRUE(),E911,0)</f>
        <v>51958</v>
      </c>
      <c r="I911" s="7">
        <f>IF(K911=TRUE(),E911,0)</f>
        <v>0</v>
      </c>
      <c r="J911" t="b" s="4">
        <v>1</v>
      </c>
      <c r="K911" t="b" s="4">
        <v>0</v>
      </c>
    </row>
    <row r="912" ht="17" customHeight="1">
      <c r="A912" s="4">
        <v>787</v>
      </c>
      <c r="B912" s="5">
        <v>41548</v>
      </c>
      <c r="C912" t="s" s="3">
        <v>60</v>
      </c>
      <c r="D912" t="s" s="3">
        <v>197</v>
      </c>
      <c r="E912" s="6">
        <v>70201</v>
      </c>
      <c r="F912" s="6">
        <f>E912*0.19</f>
        <v>13338.19</v>
      </c>
      <c r="G912" s="6">
        <f>E912+F912</f>
        <v>83539.19</v>
      </c>
      <c r="H912" s="7">
        <f>IF(J912=TRUE(),E912,0)</f>
        <v>70201</v>
      </c>
      <c r="I912" s="7">
        <f>IF(K912=TRUE(),E912,0)</f>
        <v>0</v>
      </c>
      <c r="J912" t="b" s="4">
        <v>1</v>
      </c>
      <c r="K912" t="b" s="4">
        <v>0</v>
      </c>
    </row>
    <row r="913" ht="17" customHeight="1">
      <c r="A913" s="4">
        <v>788</v>
      </c>
      <c r="B913" s="5">
        <v>41548</v>
      </c>
      <c r="C913" t="s" s="3">
        <v>34</v>
      </c>
      <c r="D913" t="s" s="3">
        <v>197</v>
      </c>
      <c r="E913" s="6">
        <v>54037</v>
      </c>
      <c r="F913" s="6">
        <f>E913*0.19</f>
        <v>10267.03</v>
      </c>
      <c r="G913" s="6">
        <f>E913+F913</f>
        <v>64304.03</v>
      </c>
      <c r="H913" s="7">
        <f>IF(J913=TRUE(),E913,0)</f>
        <v>54037</v>
      </c>
      <c r="I913" s="7">
        <f>IF(K913=TRUE(),E913,0)</f>
        <v>0</v>
      </c>
      <c r="J913" t="b" s="4">
        <v>1</v>
      </c>
      <c r="K913" t="b" s="4">
        <v>0</v>
      </c>
    </row>
    <row r="914" ht="17" customHeight="1">
      <c r="A914" s="4">
        <v>789</v>
      </c>
      <c r="B914" s="5">
        <v>41548</v>
      </c>
      <c r="C914" t="s" s="3">
        <v>42</v>
      </c>
      <c r="D914" t="s" s="3">
        <v>197</v>
      </c>
      <c r="E914" s="6">
        <v>307358</v>
      </c>
      <c r="F914" s="6">
        <f>E914*0.19</f>
        <v>58398.02</v>
      </c>
      <c r="G914" s="6">
        <f>E914+F914</f>
        <v>365756.02</v>
      </c>
      <c r="H914" s="7">
        <f>IF(J914=TRUE(),E914,0)</f>
        <v>307358</v>
      </c>
      <c r="I914" s="7">
        <f>IF(K914=TRUE(),E914,0)</f>
        <v>0</v>
      </c>
      <c r="J914" t="b" s="4">
        <v>1</v>
      </c>
      <c r="K914" t="b" s="4">
        <v>0</v>
      </c>
    </row>
    <row r="915" ht="17" customHeight="1">
      <c r="A915" s="4">
        <v>790</v>
      </c>
      <c r="B915" s="5">
        <v>41548</v>
      </c>
      <c r="C915" t="s" s="3">
        <v>384</v>
      </c>
      <c r="D915" t="s" s="3">
        <v>197</v>
      </c>
      <c r="E915" s="6">
        <v>40412</v>
      </c>
      <c r="F915" s="6">
        <f>E915*0.19</f>
        <v>7678.28</v>
      </c>
      <c r="G915" s="6">
        <f>E915+F915</f>
        <v>48090.28</v>
      </c>
      <c r="H915" s="7">
        <f>IF(J915=TRUE(),E915,0)</f>
        <v>40412</v>
      </c>
      <c r="I915" s="7">
        <f>IF(K915=TRUE(),E915,0)</f>
        <v>0</v>
      </c>
      <c r="J915" t="b" s="4">
        <v>1</v>
      </c>
      <c r="K915" t="b" s="4">
        <v>0</v>
      </c>
    </row>
    <row r="916" ht="17" customHeight="1">
      <c r="A916" s="4">
        <v>791</v>
      </c>
      <c r="B916" s="5">
        <v>41548</v>
      </c>
      <c r="C916" t="s" s="3">
        <v>357</v>
      </c>
      <c r="D916" t="s" s="3">
        <v>197</v>
      </c>
      <c r="E916" s="6">
        <v>325605</v>
      </c>
      <c r="F916" s="6">
        <f>E916*0.19</f>
        <v>61864.95</v>
      </c>
      <c r="G916" s="6">
        <f>E916+F916</f>
        <v>387469.95</v>
      </c>
      <c r="H916" s="7">
        <f>IF(J916=TRUE(),E916,0)</f>
        <v>325605</v>
      </c>
      <c r="I916" s="7">
        <f>IF(K916=TRUE(),E916,0)</f>
        <v>0</v>
      </c>
      <c r="J916" t="b" s="4">
        <v>1</v>
      </c>
      <c r="K916" t="b" s="4">
        <v>0</v>
      </c>
    </row>
    <row r="917" ht="17" customHeight="1">
      <c r="A917" s="4">
        <v>792</v>
      </c>
      <c r="B917" s="5">
        <v>41548</v>
      </c>
      <c r="C917" t="s" s="3">
        <v>230</v>
      </c>
      <c r="D917" t="s" s="3">
        <v>197</v>
      </c>
      <c r="E917" s="6">
        <v>230926</v>
      </c>
      <c r="F917" s="6">
        <f>E917*0.19</f>
        <v>43875.94</v>
      </c>
      <c r="G917" s="6">
        <f>E917+F917</f>
        <v>274801.94</v>
      </c>
      <c r="H917" s="7">
        <f>IF(J917=TRUE(),E917,0)</f>
        <v>230926</v>
      </c>
      <c r="I917" s="7">
        <f>IF(K917=TRUE(),E917,0)</f>
        <v>0</v>
      </c>
      <c r="J917" t="b" s="4">
        <v>1</v>
      </c>
      <c r="K917" t="b" s="4">
        <v>0</v>
      </c>
    </row>
    <row r="918" ht="17" customHeight="1">
      <c r="A918" s="4">
        <v>793</v>
      </c>
      <c r="B918" s="5">
        <v>41548</v>
      </c>
      <c r="C918" t="s" s="3">
        <v>216</v>
      </c>
      <c r="D918" t="s" s="3">
        <v>197</v>
      </c>
      <c r="E918" s="6">
        <v>225383</v>
      </c>
      <c r="F918" s="6">
        <f>E918*0.19</f>
        <v>42822.77</v>
      </c>
      <c r="G918" s="6">
        <f>E918+F918</f>
        <v>268205.77</v>
      </c>
      <c r="H918" s="7">
        <f>IF(J918=TRUE(),E918,0)</f>
        <v>225383</v>
      </c>
      <c r="I918" s="7">
        <f>IF(K918=TRUE(),E918,0)</f>
        <v>0</v>
      </c>
      <c r="J918" t="b" s="4">
        <v>1</v>
      </c>
      <c r="K918" t="b" s="4">
        <v>0</v>
      </c>
    </row>
    <row r="919" ht="17" customHeight="1">
      <c r="A919" s="4">
        <v>794</v>
      </c>
      <c r="B919" s="5">
        <v>41548</v>
      </c>
      <c r="C919" t="s" s="3">
        <v>216</v>
      </c>
      <c r="D919" t="s" s="3">
        <v>197</v>
      </c>
      <c r="E919" s="6">
        <v>55422</v>
      </c>
      <c r="F919" s="6">
        <f>E919*0.19</f>
        <v>10530.18</v>
      </c>
      <c r="G919" s="6">
        <f>E919+F919</f>
        <v>65952.179999999993</v>
      </c>
      <c r="H919" s="7">
        <f>IF(J919=TRUE(),E919,0)</f>
        <v>55422</v>
      </c>
      <c r="I919" s="7">
        <f>IF(K919=TRUE(),E919,0)</f>
        <v>0</v>
      </c>
      <c r="J919" t="b" s="4">
        <v>1</v>
      </c>
      <c r="K919" t="b" s="4">
        <v>0</v>
      </c>
    </row>
    <row r="920" ht="17" customHeight="1">
      <c r="A920" s="4">
        <v>795</v>
      </c>
      <c r="B920" s="5">
        <v>41548</v>
      </c>
      <c r="C920" t="s" s="3">
        <v>90</v>
      </c>
      <c r="D920" t="s" s="3">
        <v>197</v>
      </c>
      <c r="E920" s="6">
        <v>26326</v>
      </c>
      <c r="F920" s="6">
        <f>E920*0.19</f>
        <v>5001.940000000001</v>
      </c>
      <c r="G920" s="6">
        <f>E920+F920</f>
        <v>31327.94</v>
      </c>
      <c r="H920" s="7">
        <f>IF(J920=TRUE(),E920,0)</f>
        <v>26326</v>
      </c>
      <c r="I920" s="7">
        <f>IF(K920=TRUE(),E920,0)</f>
        <v>0</v>
      </c>
      <c r="J920" t="b" s="4">
        <v>1</v>
      </c>
      <c r="K920" t="b" s="4">
        <v>0</v>
      </c>
    </row>
    <row r="921" ht="17" customHeight="1">
      <c r="A921" s="4">
        <v>796</v>
      </c>
      <c r="B921" s="5">
        <v>41548</v>
      </c>
      <c r="C921" t="s" s="3">
        <v>183</v>
      </c>
      <c r="D921" t="s" s="3">
        <v>197</v>
      </c>
      <c r="E921" s="6">
        <v>67892</v>
      </c>
      <c r="F921" s="6">
        <f>E921*0.19</f>
        <v>12899.48</v>
      </c>
      <c r="G921" s="6">
        <f>E921+F921</f>
        <v>80791.48</v>
      </c>
      <c r="H921" s="7">
        <f>IF(J921=TRUE(),E921,0)</f>
        <v>67892</v>
      </c>
      <c r="I921" s="7">
        <f>IF(K921=TRUE(),E921,0)</f>
        <v>0</v>
      </c>
      <c r="J921" t="b" s="4">
        <v>1</v>
      </c>
      <c r="K921" t="b" s="4">
        <v>0</v>
      </c>
    </row>
    <row r="922" ht="17" customHeight="1">
      <c r="A922" s="4">
        <v>797</v>
      </c>
      <c r="B922" s="5">
        <v>41548</v>
      </c>
      <c r="C922" t="s" s="3">
        <v>120</v>
      </c>
      <c r="D922" t="s" s="3">
        <v>197</v>
      </c>
      <c r="E922" s="6">
        <v>431138</v>
      </c>
      <c r="F922" s="6">
        <f>E922*0.19</f>
        <v>81916.22</v>
      </c>
      <c r="G922" s="6">
        <f>E922+F922</f>
        <v>513054.22</v>
      </c>
      <c r="H922" s="7">
        <f>IF(J922=TRUE(),E922,0)</f>
        <v>431138</v>
      </c>
      <c r="I922" s="7">
        <f>IF(K922=TRUE(),E922,0)</f>
        <v>0</v>
      </c>
      <c r="J922" t="b" s="4">
        <v>1</v>
      </c>
      <c r="K922" t="b" s="4">
        <v>0</v>
      </c>
    </row>
    <row r="923" ht="17" customHeight="1">
      <c r="A923" s="4">
        <v>798</v>
      </c>
      <c r="B923" s="5">
        <v>41548</v>
      </c>
      <c r="C923" t="s" s="3">
        <v>127</v>
      </c>
      <c r="D923" t="s" s="3">
        <v>197</v>
      </c>
      <c r="E923" s="6">
        <v>536902</v>
      </c>
      <c r="F923" s="6">
        <f>E923*0.19</f>
        <v>102011.38</v>
      </c>
      <c r="G923" s="6">
        <f>E923+F923</f>
        <v>638913.38</v>
      </c>
      <c r="H923" s="7">
        <f>IF(J923=TRUE(),E923,0)</f>
        <v>536902</v>
      </c>
      <c r="I923" s="7">
        <f>IF(K923=TRUE(),E923,0)</f>
        <v>0</v>
      </c>
      <c r="J923" t="b" s="4">
        <v>1</v>
      </c>
      <c r="K923" t="b" s="4">
        <v>0</v>
      </c>
    </row>
    <row r="924" ht="17" customHeight="1">
      <c r="A924" s="4">
        <v>799</v>
      </c>
      <c r="B924" s="5">
        <v>41548</v>
      </c>
      <c r="C924" t="s" s="3">
        <v>33</v>
      </c>
      <c r="D924" t="s" s="3">
        <v>197</v>
      </c>
      <c r="E924" s="6">
        <v>957879</v>
      </c>
      <c r="F924" s="6">
        <f>E924*0.19</f>
        <v>181997.01</v>
      </c>
      <c r="G924" s="6">
        <f>E924+F924</f>
        <v>1139876.01</v>
      </c>
      <c r="H924" s="7">
        <f>IF(J924=TRUE(),E924,0)</f>
        <v>957879</v>
      </c>
      <c r="I924" s="7">
        <f>IF(K924=TRUE(),E924,0)</f>
        <v>0</v>
      </c>
      <c r="J924" t="b" s="4">
        <v>1</v>
      </c>
      <c r="K924" t="b" s="4">
        <v>0</v>
      </c>
    </row>
    <row r="925" ht="17.5" customHeight="1">
      <c r="A925" s="9">
        <v>800</v>
      </c>
      <c r="B925" s="5">
        <v>41548</v>
      </c>
      <c r="C925" t="s" s="10">
        <v>216</v>
      </c>
      <c r="D925" t="s" s="10">
        <v>415</v>
      </c>
      <c r="E925" s="11">
        <v>80422</v>
      </c>
      <c r="F925" s="11">
        <f>E925*0.19</f>
        <v>15280.18</v>
      </c>
      <c r="G925" s="11">
        <f>E925+F925</f>
        <v>95702.179999999993</v>
      </c>
      <c r="H925" s="12">
        <f>IF(J925=TRUE(),E925,0)</f>
        <v>0</v>
      </c>
      <c r="I925" s="12">
        <f>IF(K925=TRUE(),E925,0)</f>
        <v>0</v>
      </c>
      <c r="J925" t="b" s="9">
        <v>0</v>
      </c>
      <c r="K925" t="b" s="9">
        <v>0</v>
      </c>
    </row>
    <row r="926" ht="18" customHeight="1">
      <c r="A926" s="13">
        <v>22</v>
      </c>
      <c r="B926" t="s" s="3">
        <v>416</v>
      </c>
      <c r="C926" t="s" s="14">
        <v>7</v>
      </c>
      <c r="D926" s="14"/>
      <c r="E926" s="15">
        <f>SUM(E904:E925)</f>
        <v>4629667</v>
      </c>
      <c r="F926" s="15">
        <f>SUM(F904:F925)</f>
        <v>879636.7300000001</v>
      </c>
      <c r="G926" s="16">
        <f>SUM(G904:G925)</f>
        <v>5509303.73</v>
      </c>
      <c r="H926" s="17">
        <f>SUM(H904:H925)</f>
        <v>3841028</v>
      </c>
      <c r="I926" s="17"/>
      <c r="J926" s="18">
        <f>COUNTIF(J904:J925,TRUE())</f>
        <v>17</v>
      </c>
      <c r="K926" s="19"/>
    </row>
    <row r="927" ht="17.5" customHeight="1">
      <c r="A927" s="20"/>
      <c r="B927" s="5"/>
      <c r="C927" s="20"/>
      <c r="D927" s="21"/>
      <c r="E927" s="20"/>
      <c r="F927" s="20"/>
      <c r="G927" s="20"/>
      <c r="H927" s="22"/>
      <c r="I927" s="22"/>
      <c r="J927" s="20"/>
      <c r="K927" s="20"/>
    </row>
    <row r="928" ht="17" customHeight="1">
      <c r="A928" t="s" s="3">
        <v>1</v>
      </c>
      <c r="B928" t="s" s="3">
        <v>2</v>
      </c>
      <c r="C928" t="s" s="3">
        <v>3</v>
      </c>
      <c r="D928" t="s" s="3">
        <v>4</v>
      </c>
      <c r="E928" t="s" s="3">
        <v>5</v>
      </c>
      <c r="F928" t="s" s="3">
        <v>6</v>
      </c>
      <c r="G928" t="s" s="3">
        <v>7</v>
      </c>
      <c r="H928" s="7"/>
      <c r="I928" s="7"/>
      <c r="J928" s="8"/>
      <c r="K928" s="8"/>
    </row>
    <row r="929" ht="17" customHeight="1">
      <c r="A929" s="4">
        <v>801</v>
      </c>
      <c r="B929" s="5">
        <v>41579</v>
      </c>
      <c r="C929" t="s" s="3">
        <v>45</v>
      </c>
      <c r="D929" t="s" s="3">
        <v>417</v>
      </c>
      <c r="E929" s="6">
        <v>409700</v>
      </c>
      <c r="F929" s="6">
        <f>E929*0.19</f>
        <v>77843</v>
      </c>
      <c r="G929" s="6">
        <f>E929+F929</f>
        <v>487543</v>
      </c>
      <c r="H929" s="7">
        <f>IF(J929=TRUE(),E929,0)</f>
        <v>0</v>
      </c>
      <c r="I929" s="7">
        <f>IF(K929=TRUE(),E929,0)</f>
        <v>0</v>
      </c>
      <c r="J929" t="b" s="4">
        <v>0</v>
      </c>
      <c r="K929" t="b" s="4">
        <v>0</v>
      </c>
    </row>
    <row r="930" ht="17" customHeight="1">
      <c r="A930" s="4">
        <v>802</v>
      </c>
      <c r="B930" s="5">
        <v>41579</v>
      </c>
      <c r="C930" t="s" s="3">
        <v>66</v>
      </c>
      <c r="D930" t="s" s="3">
        <v>211</v>
      </c>
      <c r="E930" s="6">
        <v>141462</v>
      </c>
      <c r="F930" s="6">
        <f>E930*0.19</f>
        <v>26877.78</v>
      </c>
      <c r="G930" s="6">
        <f>E930+F930</f>
        <v>168339.78</v>
      </c>
      <c r="H930" s="7">
        <f>IF(J930=TRUE(),E930,0)</f>
        <v>141462</v>
      </c>
      <c r="I930" s="7">
        <f>IF(K930=TRUE(),E930,0)</f>
        <v>0</v>
      </c>
      <c r="J930" t="b" s="4">
        <v>1</v>
      </c>
      <c r="K930" t="b" s="4">
        <v>0</v>
      </c>
    </row>
    <row r="931" ht="17" customHeight="1">
      <c r="A931" s="4">
        <v>803</v>
      </c>
      <c r="B931" s="5">
        <v>41579</v>
      </c>
      <c r="C931" t="s" s="3">
        <v>40</v>
      </c>
      <c r="D931" t="s" s="3">
        <v>211</v>
      </c>
      <c r="E931" s="6">
        <v>158000</v>
      </c>
      <c r="F931" s="6">
        <f>E931*0.19</f>
        <v>30020</v>
      </c>
      <c r="G931" s="6">
        <f>E931+F931</f>
        <v>188020</v>
      </c>
      <c r="H931" s="7">
        <f>IF(J931=TRUE(),E931,0)</f>
        <v>158000</v>
      </c>
      <c r="I931" s="7">
        <f>IF(K931=TRUE(),E931,0)</f>
        <v>0</v>
      </c>
      <c r="J931" t="b" s="4">
        <v>1</v>
      </c>
      <c r="K931" t="b" s="4">
        <v>0</v>
      </c>
    </row>
    <row r="932" ht="17" customHeight="1">
      <c r="A932" s="4">
        <v>804</v>
      </c>
      <c r="B932" s="5">
        <v>41579</v>
      </c>
      <c r="C932" t="s" s="3">
        <v>22</v>
      </c>
      <c r="D932" t="s" s="3">
        <v>211</v>
      </c>
      <c r="E932" s="6">
        <v>161406</v>
      </c>
      <c r="F932" s="6">
        <f>E932*0.19</f>
        <v>30667.14</v>
      </c>
      <c r="G932" s="6">
        <f>E932+F932</f>
        <v>192073.14</v>
      </c>
      <c r="H932" s="7">
        <f>IF(J932=TRUE(),E932,0)</f>
        <v>161406</v>
      </c>
      <c r="I932" s="7">
        <f>IF(K932=TRUE(),E932,0)</f>
        <v>0</v>
      </c>
      <c r="J932" t="b" s="4">
        <v>1</v>
      </c>
      <c r="K932" t="b" s="4">
        <v>0</v>
      </c>
    </row>
    <row r="933" ht="17" customHeight="1">
      <c r="A933" s="4">
        <v>805</v>
      </c>
      <c r="B933" s="5">
        <v>41579</v>
      </c>
      <c r="C933" t="s" s="3">
        <v>268</v>
      </c>
      <c r="D933" t="s" s="3">
        <v>211</v>
      </c>
      <c r="E933" s="6">
        <v>52179</v>
      </c>
      <c r="F933" s="6">
        <f>E933*0.19</f>
        <v>9914.01</v>
      </c>
      <c r="G933" s="6">
        <f>E933+F933</f>
        <v>62093.01</v>
      </c>
      <c r="H933" s="7">
        <f>IF(J933=TRUE(),E933,0)</f>
        <v>52179</v>
      </c>
      <c r="I933" s="7">
        <f>IF(K933=TRUE(),E933,0)</f>
        <v>0</v>
      </c>
      <c r="J933" t="b" s="4">
        <v>1</v>
      </c>
      <c r="K933" t="b" s="4">
        <v>0</v>
      </c>
    </row>
    <row r="934" ht="17" customHeight="1">
      <c r="A934" s="4">
        <v>806</v>
      </c>
      <c r="B934" s="5">
        <v>41579</v>
      </c>
      <c r="C934" t="s" s="3">
        <v>60</v>
      </c>
      <c r="D934" t="s" s="3">
        <v>211</v>
      </c>
      <c r="E934" s="6">
        <v>70499</v>
      </c>
      <c r="F934" s="6">
        <f>E934*0.19</f>
        <v>13394.81</v>
      </c>
      <c r="G934" s="6">
        <f>E934+F934</f>
        <v>83893.81</v>
      </c>
      <c r="H934" s="7">
        <f>IF(J934=TRUE(),E934,0)</f>
        <v>70499</v>
      </c>
      <c r="I934" s="7">
        <f>IF(K934=TRUE(),E934,0)</f>
        <v>0</v>
      </c>
      <c r="J934" t="b" s="4">
        <v>1</v>
      </c>
      <c r="K934" t="b" s="4">
        <v>0</v>
      </c>
    </row>
    <row r="935" ht="17" customHeight="1">
      <c r="A935" s="4">
        <v>807</v>
      </c>
      <c r="B935" s="5">
        <v>41579</v>
      </c>
      <c r="C935" t="s" s="3">
        <v>34</v>
      </c>
      <c r="D935" t="s" s="3">
        <v>211</v>
      </c>
      <c r="E935" s="6">
        <v>54266</v>
      </c>
      <c r="F935" s="6">
        <f>E935*0.19</f>
        <v>10310.54</v>
      </c>
      <c r="G935" s="6">
        <f>E935+F935</f>
        <v>64576.54</v>
      </c>
      <c r="H935" s="7">
        <f>IF(J935=TRUE(),E935,0)</f>
        <v>54266</v>
      </c>
      <c r="I935" s="7">
        <f>IF(K935=TRUE(),E935,0)</f>
        <v>0</v>
      </c>
      <c r="J935" t="b" s="4">
        <v>1</v>
      </c>
      <c r="K935" t="b" s="4">
        <v>0</v>
      </c>
    </row>
    <row r="936" ht="17" customHeight="1">
      <c r="A936" s="4">
        <v>808</v>
      </c>
      <c r="B936" s="5">
        <v>41579</v>
      </c>
      <c r="C936" t="s" s="3">
        <v>42</v>
      </c>
      <c r="D936" t="s" s="3">
        <v>211</v>
      </c>
      <c r="E936" s="6">
        <v>310521</v>
      </c>
      <c r="F936" s="6">
        <f>E936*0.19</f>
        <v>58998.99</v>
      </c>
      <c r="G936" s="6">
        <f>E936+F936</f>
        <v>369519.99</v>
      </c>
      <c r="H936" s="7">
        <f>IF(J936=TRUE(),E936,0)</f>
        <v>310521</v>
      </c>
      <c r="I936" s="7">
        <f>IF(K936=TRUE(),E936,0)</f>
        <v>0</v>
      </c>
      <c r="J936" t="b" s="4">
        <v>1</v>
      </c>
      <c r="K936" t="b" s="4">
        <v>0</v>
      </c>
    </row>
    <row r="937" ht="17" customHeight="1">
      <c r="A937" s="4">
        <v>809</v>
      </c>
      <c r="B937" s="5">
        <v>41579</v>
      </c>
      <c r="C937" t="s" s="3">
        <v>384</v>
      </c>
      <c r="D937" t="s" s="3">
        <v>211</v>
      </c>
      <c r="E937" s="6">
        <v>40583</v>
      </c>
      <c r="F937" s="6">
        <f>E937*0.19</f>
        <v>7710.77</v>
      </c>
      <c r="G937" s="6">
        <f>E937+F937</f>
        <v>48293.77</v>
      </c>
      <c r="H937" s="7">
        <f>IF(J937=TRUE(),E937,0)</f>
        <v>40583</v>
      </c>
      <c r="I937" s="7">
        <f>IF(K937=TRUE(),E937,0)</f>
        <v>0</v>
      </c>
      <c r="J937" t="b" s="4">
        <v>1</v>
      </c>
      <c r="K937" t="b" s="4">
        <v>0</v>
      </c>
    </row>
    <row r="938" ht="17" customHeight="1">
      <c r="A938" s="4">
        <v>810</v>
      </c>
      <c r="B938" s="5">
        <v>41579</v>
      </c>
      <c r="C938" t="s" s="3">
        <v>357</v>
      </c>
      <c r="D938" t="s" s="3">
        <v>211</v>
      </c>
      <c r="E938" s="6">
        <v>326987</v>
      </c>
      <c r="F938" s="6">
        <f>E938*0.19</f>
        <v>62127.53</v>
      </c>
      <c r="G938" s="6">
        <f>E938+F938</f>
        <v>389114.53</v>
      </c>
      <c r="H938" s="7">
        <f>IF(J938=TRUE(),E938,0)</f>
        <v>326987</v>
      </c>
      <c r="I938" s="7">
        <f>IF(K938=TRUE(),E938,0)</f>
        <v>0</v>
      </c>
      <c r="J938" t="b" s="4">
        <v>1</v>
      </c>
      <c r="K938" t="b" s="4">
        <v>0</v>
      </c>
    </row>
    <row r="939" ht="17" customHeight="1">
      <c r="A939" s="4">
        <v>811</v>
      </c>
      <c r="B939" s="5">
        <v>41579</v>
      </c>
      <c r="C939" t="s" s="3">
        <v>230</v>
      </c>
      <c r="D939" t="s" s="3">
        <v>211</v>
      </c>
      <c r="E939" s="6">
        <v>231905</v>
      </c>
      <c r="F939" s="6">
        <f>E939*0.19</f>
        <v>44061.95</v>
      </c>
      <c r="G939" s="6">
        <f>E939+F939</f>
        <v>275966.95</v>
      </c>
      <c r="H939" s="7">
        <f>IF(J939=TRUE(),E939,0)</f>
        <v>231905</v>
      </c>
      <c r="I939" s="7">
        <f>IF(K939=TRUE(),E939,0)</f>
        <v>0</v>
      </c>
      <c r="J939" t="b" s="4">
        <v>1</v>
      </c>
      <c r="K939" t="b" s="4">
        <v>0</v>
      </c>
    </row>
    <row r="940" ht="17" customHeight="1">
      <c r="A940" s="4">
        <v>812</v>
      </c>
      <c r="B940" s="5">
        <v>41579</v>
      </c>
      <c r="C940" t="s" s="3">
        <v>216</v>
      </c>
      <c r="D940" t="s" s="3">
        <v>211</v>
      </c>
      <c r="E940" s="6">
        <v>226340</v>
      </c>
      <c r="F940" s="6">
        <f>E940*0.19</f>
        <v>43004.6</v>
      </c>
      <c r="G940" s="6">
        <f>E940+F940</f>
        <v>269344.6</v>
      </c>
      <c r="H940" s="7">
        <f>IF(J940=TRUE(),E940,0)</f>
        <v>226340</v>
      </c>
      <c r="I940" s="7">
        <f>IF(K940=TRUE(),E940,0)</f>
        <v>0</v>
      </c>
      <c r="J940" t="b" s="4">
        <v>1</v>
      </c>
      <c r="K940" t="b" s="4">
        <v>0</v>
      </c>
    </row>
    <row r="941" ht="17" customHeight="1">
      <c r="A941" s="4">
        <v>813</v>
      </c>
      <c r="B941" s="5">
        <v>41579</v>
      </c>
      <c r="C941" t="s" s="3">
        <v>216</v>
      </c>
      <c r="D941" t="s" s="3">
        <v>211</v>
      </c>
      <c r="E941" s="6">
        <v>55657</v>
      </c>
      <c r="F941" s="6">
        <f>E941*0.19</f>
        <v>10574.83</v>
      </c>
      <c r="G941" s="6">
        <f>E941+F941</f>
        <v>66231.83</v>
      </c>
      <c r="H941" s="7">
        <f>IF(J941=TRUE(),E941,0)</f>
        <v>55657</v>
      </c>
      <c r="I941" s="7">
        <f>IF(K941=TRUE(),E941,0)</f>
        <v>0</v>
      </c>
      <c r="J941" t="b" s="4">
        <v>1</v>
      </c>
      <c r="K941" t="b" s="4">
        <v>0</v>
      </c>
    </row>
    <row r="942" ht="17" customHeight="1">
      <c r="A942" s="4">
        <v>814</v>
      </c>
      <c r="B942" s="5">
        <v>41579</v>
      </c>
      <c r="C942" t="s" s="3">
        <v>90</v>
      </c>
      <c r="D942" t="s" s="3">
        <v>211</v>
      </c>
      <c r="E942" s="6">
        <v>26437</v>
      </c>
      <c r="F942" s="6">
        <f>E942*0.19</f>
        <v>5023.03</v>
      </c>
      <c r="G942" s="6">
        <f>E942+F942</f>
        <v>31460.03</v>
      </c>
      <c r="H942" s="7">
        <f>IF(J942=TRUE(),E942,0)</f>
        <v>26437</v>
      </c>
      <c r="I942" s="7">
        <f>IF(K942=TRUE(),E942,0)</f>
        <v>0</v>
      </c>
      <c r="J942" t="b" s="4">
        <v>1</v>
      </c>
      <c r="K942" t="b" s="4">
        <v>0</v>
      </c>
    </row>
    <row r="943" ht="17" customHeight="1">
      <c r="A943" s="4">
        <v>815</v>
      </c>
      <c r="B943" s="5">
        <v>41579</v>
      </c>
      <c r="C943" t="s" s="3">
        <v>183</v>
      </c>
      <c r="D943" t="s" s="3">
        <v>211</v>
      </c>
      <c r="E943" s="6">
        <v>68180</v>
      </c>
      <c r="F943" s="6">
        <f>E943*0.19</f>
        <v>12954.2</v>
      </c>
      <c r="G943" s="6">
        <f>E943+F943</f>
        <v>81134.2</v>
      </c>
      <c r="H943" s="7">
        <f>IF(J943=TRUE(),E943,0)</f>
        <v>68180</v>
      </c>
      <c r="I943" s="7">
        <f>IF(K943=TRUE(),E943,0)</f>
        <v>0</v>
      </c>
      <c r="J943" t="b" s="4">
        <v>1</v>
      </c>
      <c r="K943" t="b" s="4">
        <v>0</v>
      </c>
    </row>
    <row r="944" ht="17" customHeight="1">
      <c r="A944" s="4">
        <v>816</v>
      </c>
      <c r="B944" s="5">
        <v>41579</v>
      </c>
      <c r="C944" t="s" s="3">
        <v>120</v>
      </c>
      <c r="D944" t="s" s="3">
        <v>211</v>
      </c>
      <c r="E944" s="6">
        <v>432967</v>
      </c>
      <c r="F944" s="6">
        <f>E944*0.19</f>
        <v>82263.73</v>
      </c>
      <c r="G944" s="6">
        <f>E944+F944</f>
        <v>515230.73</v>
      </c>
      <c r="H944" s="7">
        <f>IF(J944=TRUE(),E944,0)</f>
        <v>432967</v>
      </c>
      <c r="I944" s="7">
        <f>IF(K944=TRUE(),E944,0)</f>
        <v>0</v>
      </c>
      <c r="J944" t="b" s="4">
        <v>1</v>
      </c>
      <c r="K944" t="b" s="4">
        <v>0</v>
      </c>
    </row>
    <row r="945" ht="17" customHeight="1">
      <c r="A945" s="4">
        <v>817</v>
      </c>
      <c r="B945" s="5">
        <v>41579</v>
      </c>
      <c r="C945" t="s" s="3">
        <v>127</v>
      </c>
      <c r="D945" t="s" s="3">
        <v>211</v>
      </c>
      <c r="E945" s="6">
        <v>539180</v>
      </c>
      <c r="F945" s="6">
        <f>E945*0.19</f>
        <v>102444.2</v>
      </c>
      <c r="G945" s="6">
        <f>E945+F945</f>
        <v>641624.2</v>
      </c>
      <c r="H945" s="7">
        <f>IF(J945=TRUE(),E945,0)</f>
        <v>539180</v>
      </c>
      <c r="I945" s="7">
        <f>IF(K945=TRUE(),E945,0)</f>
        <v>0</v>
      </c>
      <c r="J945" t="b" s="4">
        <v>1</v>
      </c>
      <c r="K945" t="b" s="4">
        <v>0</v>
      </c>
    </row>
    <row r="946" ht="17" customHeight="1">
      <c r="A946" s="4">
        <v>818</v>
      </c>
      <c r="B946" s="5">
        <v>41579</v>
      </c>
      <c r="C946" t="s" s="3">
        <v>33</v>
      </c>
      <c r="D946" t="s" s="3">
        <v>211</v>
      </c>
      <c r="E946" s="6">
        <v>43134</v>
      </c>
      <c r="F946" s="6">
        <f>E946*0.19</f>
        <v>8195.460000000001</v>
      </c>
      <c r="G946" s="6">
        <f>E946+F946</f>
        <v>51329.46</v>
      </c>
      <c r="H946" s="7">
        <f>IF(J946=TRUE(),E946,0)</f>
        <v>43134</v>
      </c>
      <c r="I946" s="7">
        <f>IF(K946=TRUE(),E946,0)</f>
        <v>0</v>
      </c>
      <c r="J946" t="b" s="4">
        <v>1</v>
      </c>
      <c r="K946" t="b" s="4">
        <v>0</v>
      </c>
    </row>
    <row r="947" ht="17" customHeight="1">
      <c r="A947" s="4">
        <v>819</v>
      </c>
      <c r="B947" s="5">
        <v>41597</v>
      </c>
      <c r="C947" t="s" s="3">
        <v>33</v>
      </c>
      <c r="D947" t="s" s="3">
        <v>418</v>
      </c>
      <c r="E947" s="6">
        <v>683246</v>
      </c>
      <c r="F947" s="6">
        <f>E947*0.19</f>
        <v>129816.74</v>
      </c>
      <c r="G947" s="6">
        <f>E947+F947</f>
        <v>813062.74</v>
      </c>
      <c r="H947" s="7">
        <f>IF(J947=TRUE(),E947,0)</f>
        <v>0</v>
      </c>
      <c r="I947" s="7">
        <f>IF(K947=TRUE(),E947,0)</f>
        <v>0</v>
      </c>
      <c r="J947" t="b" s="4">
        <v>0</v>
      </c>
      <c r="K947" t="b" s="4">
        <v>0</v>
      </c>
    </row>
    <row r="948" ht="17" customHeight="1">
      <c r="A948" s="4">
        <v>820</v>
      </c>
      <c r="B948" s="5">
        <v>41584</v>
      </c>
      <c r="C948" t="s" s="3">
        <v>33</v>
      </c>
      <c r="D948" t="s" s="3">
        <v>419</v>
      </c>
      <c r="E948" s="6">
        <v>268200</v>
      </c>
      <c r="F948" s="6">
        <f>E948*0.19</f>
        <v>50958</v>
      </c>
      <c r="G948" s="6">
        <f>E948+F948</f>
        <v>319158</v>
      </c>
      <c r="H948" s="7">
        <f>IF(J948=TRUE(),E948,0)</f>
        <v>0</v>
      </c>
      <c r="I948" s="7">
        <f>IF(K948=TRUE(),E948,0)</f>
        <v>0</v>
      </c>
      <c r="J948" t="b" s="4">
        <v>0</v>
      </c>
      <c r="K948" t="b" s="4">
        <v>0</v>
      </c>
    </row>
    <row r="949" ht="17" customHeight="1">
      <c r="A949" s="4">
        <v>821</v>
      </c>
      <c r="B949" s="5">
        <v>41606</v>
      </c>
      <c r="C949" t="s" s="3">
        <v>420</v>
      </c>
      <c r="D949" t="s" s="3">
        <v>197</v>
      </c>
      <c r="E949" s="6">
        <v>278820</v>
      </c>
      <c r="F949" s="6">
        <f>E949*0.19</f>
        <v>52975.8</v>
      </c>
      <c r="G949" s="6">
        <f>E949+F949</f>
        <v>331795.8</v>
      </c>
      <c r="H949" s="7">
        <f>IF(J949=TRUE(),E949,0)</f>
        <v>278820</v>
      </c>
      <c r="I949" s="7">
        <f>IF(K949=TRUE(),E949,0)</f>
        <v>0</v>
      </c>
      <c r="J949" t="b" s="4">
        <v>1</v>
      </c>
      <c r="K949" t="b" s="4">
        <v>0</v>
      </c>
    </row>
    <row r="950" ht="17" customHeight="1">
      <c r="A950" s="4">
        <v>822</v>
      </c>
      <c r="B950" s="5">
        <v>41606</v>
      </c>
      <c r="C950" t="s" s="3">
        <v>316</v>
      </c>
      <c r="D950" t="s" s="3">
        <v>197</v>
      </c>
      <c r="E950" s="6">
        <v>232350</v>
      </c>
      <c r="F950" s="6">
        <f>E950*0.19</f>
        <v>44146.5</v>
      </c>
      <c r="G950" s="6">
        <f>E950+F950</f>
        <v>276496.5</v>
      </c>
      <c r="H950" s="7">
        <f>IF(J950=TRUE(),E950,0)</f>
        <v>232350</v>
      </c>
      <c r="I950" s="7">
        <f>IF(K950=TRUE(),E950,0)</f>
        <v>0</v>
      </c>
      <c r="J950" t="b" s="4">
        <v>1</v>
      </c>
      <c r="K950" t="b" s="4">
        <v>0</v>
      </c>
    </row>
    <row r="951" ht="17" customHeight="1">
      <c r="A951" s="4">
        <v>823</v>
      </c>
      <c r="B951" s="5">
        <v>41606</v>
      </c>
      <c r="C951" t="s" s="3">
        <v>298</v>
      </c>
      <c r="D951" t="s" s="3">
        <v>197</v>
      </c>
      <c r="E951" s="6">
        <v>464700</v>
      </c>
      <c r="F951" s="6">
        <f>E951*0.19</f>
        <v>88293</v>
      </c>
      <c r="G951" s="6">
        <f>E951+F951</f>
        <v>552993</v>
      </c>
      <c r="H951" s="7">
        <f>IF(J951=TRUE(),E951,0)</f>
        <v>464700</v>
      </c>
      <c r="I951" s="7">
        <f>IF(K951=TRUE(),E951,0)</f>
        <v>0</v>
      </c>
      <c r="J951" t="b" s="4">
        <v>1</v>
      </c>
      <c r="K951" t="b" s="4">
        <v>0</v>
      </c>
    </row>
    <row r="952" ht="17" customHeight="1">
      <c r="A952" s="4">
        <v>824</v>
      </c>
      <c r="B952" s="5">
        <v>41606</v>
      </c>
      <c r="C952" t="s" s="3">
        <v>316</v>
      </c>
      <c r="D952" t="s" s="3">
        <v>197</v>
      </c>
      <c r="E952" s="6">
        <v>232350</v>
      </c>
      <c r="F952" s="6">
        <f>E952*0.19</f>
        <v>44146.5</v>
      </c>
      <c r="G952" s="6">
        <f>E952+F952</f>
        <v>276496.5</v>
      </c>
      <c r="H952" s="7">
        <f>IF(J952=TRUE(),E952,0)</f>
        <v>232350</v>
      </c>
      <c r="I952" s="7">
        <f>IF(K952=TRUE(),E952,0)</f>
        <v>0</v>
      </c>
      <c r="J952" t="b" s="4">
        <v>1</v>
      </c>
      <c r="K952" t="b" s="4">
        <v>0</v>
      </c>
    </row>
    <row r="953" ht="17" customHeight="1">
      <c r="A953" s="4">
        <v>825</v>
      </c>
      <c r="B953" s="5">
        <v>41605</v>
      </c>
      <c r="C953" t="s" s="3">
        <v>10</v>
      </c>
      <c r="D953" t="s" s="3">
        <v>229</v>
      </c>
      <c r="E953" s="6">
        <v>609901</v>
      </c>
      <c r="F953" s="6">
        <f>E953*0.19</f>
        <v>115881.19</v>
      </c>
      <c r="G953" s="6">
        <f>E953+F953</f>
        <v>725782.1899999999</v>
      </c>
      <c r="H953" s="7">
        <f>IF(J953=TRUE(),E953,0)</f>
        <v>0</v>
      </c>
      <c r="I953" s="7">
        <f>IF(K953=TRUE(),E953,0)</f>
        <v>0</v>
      </c>
      <c r="J953" t="b" s="4">
        <v>0</v>
      </c>
      <c r="K953" t="b" s="4">
        <v>0</v>
      </c>
    </row>
    <row r="954" ht="17" customHeight="1">
      <c r="A954" s="4">
        <v>826</v>
      </c>
      <c r="B954" s="5">
        <v>41604</v>
      </c>
      <c r="C954" t="s" s="3">
        <v>58</v>
      </c>
      <c r="D954" t="s" s="3">
        <v>421</v>
      </c>
      <c r="E954" s="6">
        <v>167281</v>
      </c>
      <c r="F954" s="6">
        <f>E954*0.19</f>
        <v>31783.39</v>
      </c>
      <c r="G954" s="6">
        <f>E954+F954</f>
        <v>199064.39</v>
      </c>
      <c r="H954" s="7">
        <f>IF(J954=TRUE(),E954,0)</f>
        <v>0</v>
      </c>
      <c r="I954" s="7">
        <f>IF(K954=TRUE(),E954,0)</f>
        <v>0</v>
      </c>
      <c r="J954" t="b" s="4">
        <v>0</v>
      </c>
      <c r="K954" t="b" s="4">
        <v>0</v>
      </c>
    </row>
    <row r="955" ht="17" customHeight="1">
      <c r="A955" s="4">
        <v>827</v>
      </c>
      <c r="B955" s="5">
        <v>41599</v>
      </c>
      <c r="C955" t="s" s="3">
        <v>216</v>
      </c>
      <c r="D955" t="s" s="3">
        <v>422</v>
      </c>
      <c r="E955" s="6">
        <v>423750</v>
      </c>
      <c r="F955" s="6">
        <f>E955*0.19</f>
        <v>80512.5</v>
      </c>
      <c r="G955" s="6">
        <f>E955+F955</f>
        <v>504262.5</v>
      </c>
      <c r="H955" s="7">
        <f>IF(J955=TRUE(),E955,0)</f>
        <v>0</v>
      </c>
      <c r="I955" s="7">
        <f>IF(K955=TRUE(),E955,0)</f>
        <v>0</v>
      </c>
      <c r="J955" t="b" s="4">
        <v>0</v>
      </c>
      <c r="K955" t="b" s="4">
        <v>0</v>
      </c>
    </row>
    <row r="956" ht="17" customHeight="1">
      <c r="A956" s="4">
        <v>828</v>
      </c>
      <c r="B956" s="5">
        <v>41586</v>
      </c>
      <c r="C956" t="s" s="3">
        <v>216</v>
      </c>
      <c r="D956" t="s" s="3">
        <v>423</v>
      </c>
      <c r="E956" s="6">
        <v>60500</v>
      </c>
      <c r="F956" s="6">
        <f>E956*0.19</f>
        <v>11495</v>
      </c>
      <c r="G956" s="6">
        <f>E956+F956</f>
        <v>71995</v>
      </c>
      <c r="H956" s="7">
        <f>IF(J956=TRUE(),E956,0)</f>
        <v>0</v>
      </c>
      <c r="I956" s="7">
        <f>IF(K956=TRUE(),E956,0)</f>
        <v>0</v>
      </c>
      <c r="J956" t="b" s="4">
        <v>0</v>
      </c>
      <c r="K956" t="b" s="4">
        <v>0</v>
      </c>
    </row>
    <row r="957" ht="17.5" customHeight="1">
      <c r="A957" s="9">
        <v>829</v>
      </c>
      <c r="B957" s="5">
        <v>41586</v>
      </c>
      <c r="C957" t="s" s="10">
        <v>90</v>
      </c>
      <c r="D957" t="s" s="10">
        <v>424</v>
      </c>
      <c r="E957" s="11">
        <v>171500</v>
      </c>
      <c r="F957" s="11">
        <f>E957*0.19</f>
        <v>32585</v>
      </c>
      <c r="G957" s="11">
        <f>E957+F957</f>
        <v>204085</v>
      </c>
      <c r="H957" s="12">
        <f>IF(J957=TRUE(),E957,0)</f>
        <v>0</v>
      </c>
      <c r="I957" s="12">
        <f>IF(K957=TRUE(),E957,0)</f>
        <v>0</v>
      </c>
      <c r="J957" t="b" s="9">
        <v>0</v>
      </c>
      <c r="K957" t="b" s="9">
        <v>0</v>
      </c>
    </row>
    <row r="958" ht="18" customHeight="1">
      <c r="A958" s="13">
        <f>COUNT(A929:A957)</f>
        <v>29</v>
      </c>
      <c r="B958" t="s" s="3">
        <v>425</v>
      </c>
      <c r="C958" t="s" s="14">
        <v>7</v>
      </c>
      <c r="D958" s="14"/>
      <c r="E958" s="15">
        <f>SUM(E929:E957)</f>
        <v>6942001</v>
      </c>
      <c r="F958" s="15">
        <f>SUM(F929:F957)</f>
        <v>1318980.19</v>
      </c>
      <c r="G958" s="16">
        <f>SUM(G929:G957)</f>
        <v>8260981.19</v>
      </c>
      <c r="H958" s="17">
        <f>SUM(H929:H957)</f>
        <v>4147923</v>
      </c>
      <c r="I958" s="17"/>
      <c r="J958" s="18">
        <f>COUNTIF(J929:J957,TRUE())</f>
        <v>21</v>
      </c>
      <c r="K958" s="19"/>
    </row>
    <row r="959" ht="17.5" customHeight="1">
      <c r="A959" s="20"/>
      <c r="B959" s="5"/>
      <c r="C959" s="20"/>
      <c r="D959" s="21"/>
      <c r="E959" s="20"/>
      <c r="F959" s="20"/>
      <c r="G959" s="20"/>
      <c r="H959" s="22"/>
      <c r="I959" s="22"/>
      <c r="J959" s="20"/>
      <c r="K959" s="20"/>
    </row>
    <row r="960" ht="17" customHeight="1">
      <c r="A960" t="s" s="3">
        <v>1</v>
      </c>
      <c r="B960" t="s" s="3">
        <v>2</v>
      </c>
      <c r="C960" t="s" s="3">
        <v>3</v>
      </c>
      <c r="D960" t="s" s="3">
        <v>4</v>
      </c>
      <c r="E960" t="s" s="3">
        <v>5</v>
      </c>
      <c r="F960" t="s" s="3">
        <v>6</v>
      </c>
      <c r="G960" t="s" s="3">
        <v>7</v>
      </c>
      <c r="H960" s="7"/>
      <c r="I960" s="7"/>
      <c r="J960" s="8"/>
      <c r="K960" s="8"/>
    </row>
    <row r="961" ht="17" customHeight="1">
      <c r="A961" t="s" s="3">
        <v>426</v>
      </c>
      <c r="B961" s="5">
        <v>41395</v>
      </c>
      <c r="C961" t="s" s="3">
        <v>34</v>
      </c>
      <c r="D961" t="s" s="3">
        <v>427</v>
      </c>
      <c r="E961" s="6">
        <v>-53687</v>
      </c>
      <c r="F961" s="6">
        <f>E961*0.19</f>
        <v>-10200.53</v>
      </c>
      <c r="G961" s="6">
        <f>E961+F961</f>
        <v>-63887.53</v>
      </c>
      <c r="H961" s="7">
        <f>IF(J961=TRUE(),E961,0)</f>
        <v>-53687</v>
      </c>
      <c r="I961" s="7">
        <f>IF(K961=TRUE(),E961,0)</f>
        <v>0</v>
      </c>
      <c r="J961" t="b" s="4">
        <v>1</v>
      </c>
      <c r="K961" t="b" s="4">
        <v>0</v>
      </c>
    </row>
    <row r="962" ht="17" customHeight="1">
      <c r="A962" t="s" s="3">
        <v>428</v>
      </c>
      <c r="B962" s="5">
        <v>41395</v>
      </c>
      <c r="C962" t="s" s="3">
        <v>60</v>
      </c>
      <c r="D962" t="s" s="3">
        <v>429</v>
      </c>
      <c r="E962" s="6">
        <v>-69747</v>
      </c>
      <c r="F962" s="6">
        <f>E962*0.19</f>
        <v>-13251.93</v>
      </c>
      <c r="G962" s="6">
        <f>E962+F962</f>
        <v>-82998.929999999993</v>
      </c>
      <c r="H962" s="7">
        <f>IF(J962=TRUE(),E962,0)</f>
        <v>-69747</v>
      </c>
      <c r="I962" s="7">
        <f>IF(K962=TRUE(),E962,0)</f>
        <v>0</v>
      </c>
      <c r="J962" t="b" s="4">
        <v>1</v>
      </c>
      <c r="K962" t="b" s="4">
        <v>0</v>
      </c>
    </row>
    <row r="963" ht="17" customHeight="1">
      <c r="A963" t="s" s="3">
        <v>430</v>
      </c>
      <c r="B963" s="5">
        <v>41395</v>
      </c>
      <c r="C963" t="s" s="3">
        <v>42</v>
      </c>
      <c r="D963" t="s" s="3">
        <v>431</v>
      </c>
      <c r="E963" s="6">
        <v>-238379</v>
      </c>
      <c r="F963" s="6">
        <f>E963*0.19</f>
        <v>-45292.01</v>
      </c>
      <c r="G963" s="6">
        <f>E963+F963</f>
        <v>-283671.01</v>
      </c>
      <c r="H963" s="7">
        <f>IF(J963=TRUE(),E963,0)</f>
        <v>-238379</v>
      </c>
      <c r="I963" s="7">
        <f>IF(K963=TRUE(),E963,0)</f>
        <v>0</v>
      </c>
      <c r="J963" t="b" s="4">
        <v>1</v>
      </c>
      <c r="K963" t="b" s="4">
        <v>0</v>
      </c>
    </row>
    <row r="964" ht="17" customHeight="1">
      <c r="A964" t="s" s="3">
        <v>432</v>
      </c>
      <c r="B964" s="5">
        <v>41487</v>
      </c>
      <c r="C964" t="s" s="3">
        <v>34</v>
      </c>
      <c r="D964" t="s" s="3">
        <v>433</v>
      </c>
      <c r="E964" s="6">
        <v>-53713</v>
      </c>
      <c r="F964" s="6">
        <f>E964*0.19</f>
        <v>-10205.47</v>
      </c>
      <c r="G964" s="6">
        <f>E964+F964</f>
        <v>-63918.47</v>
      </c>
      <c r="H964" s="7">
        <f>IF(J964=TRUE(),E964,0)</f>
        <v>-53713</v>
      </c>
      <c r="I964" s="7">
        <f>IF(K964=TRUE(),E964,0)</f>
        <v>0</v>
      </c>
      <c r="J964" t="b" s="4">
        <v>1</v>
      </c>
      <c r="K964" t="b" s="4">
        <v>0</v>
      </c>
    </row>
    <row r="965" ht="17" customHeight="1">
      <c r="A965" t="s" s="3">
        <v>434</v>
      </c>
      <c r="B965" s="5">
        <v>41487</v>
      </c>
      <c r="C965" t="s" s="3">
        <v>60</v>
      </c>
      <c r="D965" t="s" s="3">
        <v>435</v>
      </c>
      <c r="E965" s="6">
        <v>-69781</v>
      </c>
      <c r="F965" s="6">
        <f>E965*0.19</f>
        <v>-13258.39</v>
      </c>
      <c r="G965" s="6">
        <f>E965+F965</f>
        <v>-83039.39</v>
      </c>
      <c r="H965" s="7">
        <f>IF(J965=TRUE(),E965,0)</f>
        <v>-69781</v>
      </c>
      <c r="I965" s="7">
        <f>IF(K965=TRUE(),E965,0)</f>
        <v>0</v>
      </c>
      <c r="J965" t="b" s="4">
        <v>1</v>
      </c>
      <c r="K965" t="b" s="4">
        <v>0</v>
      </c>
    </row>
    <row r="966" ht="17" customHeight="1">
      <c r="A966" t="s" s="3">
        <v>436</v>
      </c>
      <c r="B966" s="5">
        <v>41487</v>
      </c>
      <c r="C966" t="s" s="3">
        <v>42</v>
      </c>
      <c r="D966" t="s" s="3">
        <v>437</v>
      </c>
      <c r="E966" s="6">
        <v>-250891</v>
      </c>
      <c r="F966" s="6">
        <f>E966*0.19</f>
        <v>-47669.29</v>
      </c>
      <c r="G966" s="6">
        <f>E966+F966</f>
        <v>-298560.29</v>
      </c>
      <c r="H966" s="7">
        <f>IF(J966=TRUE(),E966,0)</f>
        <v>-250891</v>
      </c>
      <c r="I966" s="7">
        <f>IF(K966=TRUE(),E966,0)</f>
        <v>0</v>
      </c>
      <c r="J966" t="b" s="4">
        <v>1</v>
      </c>
      <c r="K966" t="b" s="4">
        <v>0</v>
      </c>
    </row>
    <row r="967" ht="17" customHeight="1">
      <c r="A967" t="s" s="3">
        <v>438</v>
      </c>
      <c r="B967" s="5">
        <v>41487</v>
      </c>
      <c r="C967" t="s" s="3">
        <v>384</v>
      </c>
      <c r="D967" t="s" s="3">
        <v>439</v>
      </c>
      <c r="E967" s="6">
        <v>-40170</v>
      </c>
      <c r="F967" s="6">
        <f>E967*0.19</f>
        <v>-7632.3</v>
      </c>
      <c r="G967" s="6">
        <f>E967+F967</f>
        <v>-47802.3</v>
      </c>
      <c r="H967" s="7">
        <f>IF(J967=TRUE(),E967,0)</f>
        <v>-40170</v>
      </c>
      <c r="I967" s="7">
        <f>IF(K967=TRUE(),E967,0)</f>
        <v>0</v>
      </c>
      <c r="J967" t="b" s="4">
        <v>1</v>
      </c>
      <c r="K967" t="b" s="4">
        <v>0</v>
      </c>
    </row>
    <row r="968" ht="17" customHeight="1">
      <c r="A968" s="4">
        <v>830</v>
      </c>
      <c r="B968" s="5">
        <v>41609</v>
      </c>
      <c r="C968" t="s" s="3">
        <v>34</v>
      </c>
      <c r="D968" t="s" s="3">
        <v>101</v>
      </c>
      <c r="E968" s="6">
        <v>53687</v>
      </c>
      <c r="F968" s="6">
        <f>E968*0.19</f>
        <v>10200.53</v>
      </c>
      <c r="G968" s="6">
        <f>E968+F968</f>
        <v>63887.53</v>
      </c>
      <c r="H968" s="7">
        <f>IF(J968=TRUE(),E968,0)</f>
        <v>53687</v>
      </c>
      <c r="I968" s="7">
        <f>IF(K968=TRUE(),E968,0)</f>
        <v>0</v>
      </c>
      <c r="J968" t="b" s="4">
        <v>1</v>
      </c>
      <c r="K968" t="b" s="4">
        <v>0</v>
      </c>
    </row>
    <row r="969" ht="17" customHeight="1">
      <c r="A969" s="4">
        <v>831</v>
      </c>
      <c r="B969" s="5">
        <v>41609</v>
      </c>
      <c r="C969" t="s" s="3">
        <v>60</v>
      </c>
      <c r="D969" t="s" s="3">
        <v>101</v>
      </c>
      <c r="E969" s="6">
        <v>69747</v>
      </c>
      <c r="F969" s="6">
        <f>E969*0.19</f>
        <v>13251.93</v>
      </c>
      <c r="G969" s="6">
        <f>E969+F969</f>
        <v>82998.929999999993</v>
      </c>
      <c r="H969" s="7">
        <f>IF(J969=TRUE(),E969,0)</f>
        <v>69747</v>
      </c>
      <c r="I969" s="7">
        <f>IF(K969=TRUE(),E969,0)</f>
        <v>0</v>
      </c>
      <c r="J969" t="b" s="4">
        <v>1</v>
      </c>
      <c r="K969" t="b" s="4">
        <v>0</v>
      </c>
    </row>
    <row r="970" ht="17" customHeight="1">
      <c r="A970" s="4">
        <v>832</v>
      </c>
      <c r="B970" s="5">
        <v>41609</v>
      </c>
      <c r="C970" t="s" s="3">
        <v>42</v>
      </c>
      <c r="D970" t="s" s="3">
        <v>101</v>
      </c>
      <c r="E970" s="6">
        <v>238379</v>
      </c>
      <c r="F970" s="6">
        <f>E970*0.19</f>
        <v>45292.01</v>
      </c>
      <c r="G970" s="6">
        <f>E970+F970</f>
        <v>283671.01</v>
      </c>
      <c r="H970" s="7">
        <f>IF(J970=TRUE(),E970,0)</f>
        <v>238379</v>
      </c>
      <c r="I970" s="7">
        <f>IF(K970=TRUE(),E970,0)</f>
        <v>0</v>
      </c>
      <c r="J970" t="b" s="4">
        <v>1</v>
      </c>
      <c r="K970" t="b" s="4">
        <v>0</v>
      </c>
    </row>
    <row r="971" ht="17" customHeight="1">
      <c r="A971" s="4">
        <v>833</v>
      </c>
      <c r="B971" s="5">
        <v>41609</v>
      </c>
      <c r="C971" t="s" s="3">
        <v>34</v>
      </c>
      <c r="D971" t="s" s="3">
        <v>159</v>
      </c>
      <c r="E971" s="6">
        <v>53713</v>
      </c>
      <c r="F971" s="6">
        <f>E971*0.19</f>
        <v>10205.47</v>
      </c>
      <c r="G971" s="6">
        <f>E971+F971</f>
        <v>63918.47</v>
      </c>
      <c r="H971" s="7">
        <f>IF(J971=TRUE(),E971,0)</f>
        <v>53713</v>
      </c>
      <c r="I971" s="7">
        <f>IF(K971=TRUE(),E971,0)</f>
        <v>0</v>
      </c>
      <c r="J971" t="b" s="4">
        <v>1</v>
      </c>
      <c r="K971" t="b" s="4">
        <v>0</v>
      </c>
    </row>
    <row r="972" ht="17" customHeight="1">
      <c r="A972" s="4">
        <v>834</v>
      </c>
      <c r="B972" s="5">
        <v>41609</v>
      </c>
      <c r="C972" t="s" s="3">
        <v>60</v>
      </c>
      <c r="D972" t="s" s="3">
        <v>159</v>
      </c>
      <c r="E972" s="6">
        <v>69781</v>
      </c>
      <c r="F972" s="6">
        <f>E972*0.19</f>
        <v>13258.39</v>
      </c>
      <c r="G972" s="6">
        <f>E972+F972</f>
        <v>83039.39</v>
      </c>
      <c r="H972" s="7">
        <f>IF(J972=TRUE(),E972,0)</f>
        <v>69781</v>
      </c>
      <c r="I972" s="7">
        <f>IF(K972=TRUE(),E972,0)</f>
        <v>0</v>
      </c>
      <c r="J972" t="b" s="4">
        <v>1</v>
      </c>
      <c r="K972" t="b" s="4">
        <v>0</v>
      </c>
    </row>
    <row r="973" ht="17" customHeight="1">
      <c r="A973" s="4">
        <v>835</v>
      </c>
      <c r="B973" s="5">
        <v>41609</v>
      </c>
      <c r="C973" t="s" s="3">
        <v>42</v>
      </c>
      <c r="D973" t="s" s="3">
        <v>159</v>
      </c>
      <c r="E973" s="6">
        <v>250891</v>
      </c>
      <c r="F973" s="6">
        <f>E973*0.19</f>
        <v>47669.29</v>
      </c>
      <c r="G973" s="6">
        <f>E973+F973</f>
        <v>298560.29</v>
      </c>
      <c r="H973" s="7">
        <f>IF(J973=TRUE(),E973,0)</f>
        <v>250891</v>
      </c>
      <c r="I973" s="7">
        <f>IF(K973=TRUE(),E973,0)</f>
        <v>0</v>
      </c>
      <c r="J973" t="b" s="4">
        <v>1</v>
      </c>
      <c r="K973" t="b" s="4">
        <v>0</v>
      </c>
    </row>
    <row r="974" ht="17" customHeight="1">
      <c r="A974" s="4">
        <v>836</v>
      </c>
      <c r="B974" s="5">
        <v>41609</v>
      </c>
      <c r="C974" t="s" s="3">
        <v>384</v>
      </c>
      <c r="D974" t="s" s="3">
        <v>159</v>
      </c>
      <c r="E974" s="6">
        <v>40170</v>
      </c>
      <c r="F974" s="6">
        <f>E974*0.19</f>
        <v>7632.3</v>
      </c>
      <c r="G974" s="6">
        <f>E974+F974</f>
        <v>47802.3</v>
      </c>
      <c r="H974" s="7">
        <f>IF(J974=TRUE(),E974,0)</f>
        <v>40170</v>
      </c>
      <c r="I974" s="7">
        <f>IF(K974=TRUE(),E974,0)</f>
        <v>0</v>
      </c>
      <c r="J974" t="b" s="4">
        <v>1</v>
      </c>
      <c r="K974" t="b" s="4">
        <v>0</v>
      </c>
    </row>
    <row r="975" ht="17" customHeight="1">
      <c r="A975" s="4">
        <v>837</v>
      </c>
      <c r="B975" s="5">
        <v>41609</v>
      </c>
      <c r="C975" t="s" s="3">
        <v>10</v>
      </c>
      <c r="D975" t="s" s="3">
        <v>440</v>
      </c>
      <c r="E975" s="6">
        <v>1330458</v>
      </c>
      <c r="F975" s="6">
        <f>E975*0.19</f>
        <v>252787.02</v>
      </c>
      <c r="G975" s="6">
        <f>E975+F975</f>
        <v>1583245.02</v>
      </c>
      <c r="H975" s="7">
        <f>IF(J975=TRUE(),E975,0)</f>
        <v>0</v>
      </c>
      <c r="I975" s="7">
        <f>IF(K975=TRUE(),E975,0)</f>
        <v>0</v>
      </c>
      <c r="J975" t="b" s="4">
        <v>0</v>
      </c>
      <c r="K975" t="b" s="4">
        <v>0</v>
      </c>
    </row>
    <row r="976" ht="17" customHeight="1">
      <c r="A976" s="4">
        <v>840</v>
      </c>
      <c r="B976" s="5">
        <v>41609</v>
      </c>
      <c r="C976" t="s" s="3">
        <v>66</v>
      </c>
      <c r="D976" t="s" s="3">
        <v>23</v>
      </c>
      <c r="E976" s="6">
        <v>141748</v>
      </c>
      <c r="F976" s="6">
        <f>E976*0.19</f>
        <v>26932.12</v>
      </c>
      <c r="G976" s="6">
        <f>E976+F976</f>
        <v>168680.12</v>
      </c>
      <c r="H976" s="7">
        <f>IF(J976=TRUE(),E976,0)</f>
        <v>141748</v>
      </c>
      <c r="I976" s="7">
        <f>IF(K976=TRUE(),E976,0)</f>
        <v>0</v>
      </c>
      <c r="J976" t="b" s="4">
        <v>1</v>
      </c>
      <c r="K976" t="b" s="4">
        <v>0</v>
      </c>
    </row>
    <row r="977" ht="17" customHeight="1">
      <c r="A977" s="4">
        <v>841</v>
      </c>
      <c r="B977" s="5">
        <v>41609</v>
      </c>
      <c r="C977" t="s" s="3">
        <v>40</v>
      </c>
      <c r="D977" t="s" s="3">
        <v>23</v>
      </c>
      <c r="E977" s="6">
        <v>158000</v>
      </c>
      <c r="F977" s="6">
        <f>E977*0.19</f>
        <v>30020</v>
      </c>
      <c r="G977" s="6">
        <f>E977+F977</f>
        <v>188020</v>
      </c>
      <c r="H977" s="7">
        <f>IF(J977=TRUE(),E977,0)</f>
        <v>158000</v>
      </c>
      <c r="I977" s="7">
        <f>IF(K977=TRUE(),E977,0)</f>
        <v>0</v>
      </c>
      <c r="J977" t="b" s="4">
        <v>1</v>
      </c>
      <c r="K977" t="b" s="4">
        <v>0</v>
      </c>
    </row>
    <row r="978" ht="17" customHeight="1">
      <c r="A978" s="4">
        <v>842</v>
      </c>
      <c r="B978" s="5">
        <v>41609</v>
      </c>
      <c r="C978" t="s" s="3">
        <v>22</v>
      </c>
      <c r="D978" t="s" s="3">
        <v>23</v>
      </c>
      <c r="E978" s="6">
        <v>161733</v>
      </c>
      <c r="F978" s="6">
        <f>E978*0.19</f>
        <v>30729.27</v>
      </c>
      <c r="G978" s="6">
        <f>E978+F978</f>
        <v>192462.27</v>
      </c>
      <c r="H978" s="7">
        <f>IF(J978=TRUE(),E978,0)</f>
        <v>161733</v>
      </c>
      <c r="I978" s="7">
        <f>IF(K978=TRUE(),E978,0)</f>
        <v>0</v>
      </c>
      <c r="J978" t="b" s="4">
        <v>1</v>
      </c>
      <c r="K978" t="b" s="4">
        <v>0</v>
      </c>
    </row>
    <row r="979" ht="17" customHeight="1">
      <c r="A979" s="4">
        <v>843</v>
      </c>
      <c r="B979" s="5">
        <v>41609</v>
      </c>
      <c r="C979" t="s" s="3">
        <v>60</v>
      </c>
      <c r="D979" t="s" s="3">
        <v>23</v>
      </c>
      <c r="E979" s="6">
        <v>70642</v>
      </c>
      <c r="F979" s="6">
        <f>E979*0.19</f>
        <v>13421.98</v>
      </c>
      <c r="G979" s="6">
        <f>E979+F979</f>
        <v>84063.98</v>
      </c>
      <c r="H979" s="7">
        <f>IF(J979=TRUE(),E979,0)</f>
        <v>70642</v>
      </c>
      <c r="I979" s="7">
        <f>IF(K979=TRUE(),E979,0)</f>
        <v>0</v>
      </c>
      <c r="J979" t="b" s="4">
        <v>1</v>
      </c>
      <c r="K979" t="b" s="4">
        <v>0</v>
      </c>
    </row>
    <row r="980" ht="17" customHeight="1">
      <c r="A980" s="4">
        <v>844</v>
      </c>
      <c r="B980" s="5">
        <v>41609</v>
      </c>
      <c r="C980" t="s" s="3">
        <v>34</v>
      </c>
      <c r="D980" t="s" s="3">
        <v>23</v>
      </c>
      <c r="E980" s="6">
        <v>54376</v>
      </c>
      <c r="F980" s="6">
        <f>E980*0.19</f>
        <v>10331.44</v>
      </c>
      <c r="G980" s="6">
        <f>E980+F980</f>
        <v>64707.44</v>
      </c>
      <c r="H980" s="7">
        <f>IF(J980=TRUE(),E980,0)</f>
        <v>54376</v>
      </c>
      <c r="I980" s="7">
        <f>IF(K980=TRUE(),E980,0)</f>
        <v>0</v>
      </c>
      <c r="J980" t="b" s="4">
        <v>1</v>
      </c>
      <c r="K980" t="b" s="4">
        <v>0</v>
      </c>
    </row>
    <row r="981" ht="17" customHeight="1">
      <c r="A981" s="4">
        <v>845</v>
      </c>
      <c r="B981" s="5">
        <v>41609</v>
      </c>
      <c r="C981" t="s" s="3">
        <v>42</v>
      </c>
      <c r="D981" t="s" s="3">
        <v>23</v>
      </c>
      <c r="E981" s="6">
        <v>311149</v>
      </c>
      <c r="F981" s="6">
        <f>E981*0.19</f>
        <v>59118.31</v>
      </c>
      <c r="G981" s="6">
        <f>E981+F981</f>
        <v>370267.31</v>
      </c>
      <c r="H981" s="7">
        <f>IF(J981=TRUE(),E981,0)</f>
        <v>311149</v>
      </c>
      <c r="I981" s="7">
        <f>IF(K981=TRUE(),E981,0)</f>
        <v>0</v>
      </c>
      <c r="J981" t="b" s="4">
        <v>1</v>
      </c>
      <c r="K981" t="b" s="4">
        <v>0</v>
      </c>
    </row>
    <row r="982" ht="17" customHeight="1">
      <c r="A982" s="4">
        <v>846</v>
      </c>
      <c r="B982" s="5">
        <v>41609</v>
      </c>
      <c r="C982" t="s" s="3">
        <v>384</v>
      </c>
      <c r="D982" t="s" s="3">
        <v>23</v>
      </c>
      <c r="E982" s="6">
        <v>40666</v>
      </c>
      <c r="F982" s="6">
        <f>E982*0.19</f>
        <v>7726.54</v>
      </c>
      <c r="G982" s="6">
        <f>E982+F982</f>
        <v>48392.54</v>
      </c>
      <c r="H982" s="7">
        <f>IF(J982=TRUE(),E982,0)</f>
        <v>40666</v>
      </c>
      <c r="I982" s="7">
        <f>IF(K982=TRUE(),E982,0)</f>
        <v>0</v>
      </c>
      <c r="J982" t="b" s="4">
        <v>1</v>
      </c>
      <c r="K982" t="b" s="4">
        <v>0</v>
      </c>
    </row>
    <row r="983" ht="17" customHeight="1">
      <c r="A983" s="4">
        <v>847</v>
      </c>
      <c r="B983" s="5">
        <v>41609</v>
      </c>
      <c r="C983" t="s" s="3">
        <v>357</v>
      </c>
      <c r="D983" t="s" s="3">
        <v>23</v>
      </c>
      <c r="E983" s="6">
        <v>327648</v>
      </c>
      <c r="F983" s="6">
        <f>E983*0.19</f>
        <v>62253.12</v>
      </c>
      <c r="G983" s="6">
        <f>E983+F983</f>
        <v>389901.12</v>
      </c>
      <c r="H983" s="7">
        <f>IF(J983=TRUE(),E983,0)</f>
        <v>327648</v>
      </c>
      <c r="I983" s="7">
        <f>IF(K983=TRUE(),E983,0)</f>
        <v>0</v>
      </c>
      <c r="J983" t="b" s="4">
        <v>1</v>
      </c>
      <c r="K983" t="b" s="4">
        <v>0</v>
      </c>
    </row>
    <row r="984" ht="17" customHeight="1">
      <c r="A984" s="4">
        <v>848</v>
      </c>
      <c r="B984" s="5">
        <v>41609</v>
      </c>
      <c r="C984" t="s" s="3">
        <v>230</v>
      </c>
      <c r="D984" t="s" s="3">
        <v>23</v>
      </c>
      <c r="E984" s="6">
        <v>23237</v>
      </c>
      <c r="F984" s="6">
        <f>E984*0.19</f>
        <v>4415.03</v>
      </c>
      <c r="G984" s="6">
        <f>E984+F984</f>
        <v>27652.03</v>
      </c>
      <c r="H984" s="7">
        <f>IF(J984=TRUE(),E984,0)</f>
        <v>23237</v>
      </c>
      <c r="I984" s="7">
        <f>IF(K984=TRUE(),E984,0)</f>
        <v>0</v>
      </c>
      <c r="J984" t="b" s="4">
        <v>1</v>
      </c>
      <c r="K984" t="b" s="4">
        <v>0</v>
      </c>
    </row>
    <row r="985" ht="17" customHeight="1">
      <c r="A985" s="4">
        <v>849</v>
      </c>
      <c r="B985" s="5">
        <v>41609</v>
      </c>
      <c r="C985" t="s" s="3">
        <v>216</v>
      </c>
      <c r="D985" t="s" s="3">
        <v>441</v>
      </c>
      <c r="E985" s="6">
        <v>226797</v>
      </c>
      <c r="F985" s="6">
        <f>E985*0.19</f>
        <v>43091.43</v>
      </c>
      <c r="G985" s="6">
        <f>E985+F985</f>
        <v>269888.43</v>
      </c>
      <c r="H985" s="7">
        <f>IF(J985=TRUE(),E985,0)</f>
        <v>226797</v>
      </c>
      <c r="I985" s="7">
        <f>IF(K985=TRUE(),E985,0)</f>
        <v>0</v>
      </c>
      <c r="J985" t="b" s="4">
        <v>1</v>
      </c>
      <c r="K985" t="b" s="4">
        <v>0</v>
      </c>
    </row>
    <row r="986" ht="17" customHeight="1">
      <c r="A986" s="4">
        <v>850</v>
      </c>
      <c r="B986" s="5">
        <v>41609</v>
      </c>
      <c r="C986" t="s" s="3">
        <v>216</v>
      </c>
      <c r="D986" t="s" s="3">
        <v>442</v>
      </c>
      <c r="E986" s="6">
        <v>55770</v>
      </c>
      <c r="F986" s="6">
        <f>E986*0.19</f>
        <v>10596.3</v>
      </c>
      <c r="G986" s="6">
        <f>E986+F986</f>
        <v>66366.3</v>
      </c>
      <c r="H986" s="7">
        <f>IF(J986=TRUE(),E986,0)</f>
        <v>55770</v>
      </c>
      <c r="I986" s="7">
        <f>IF(K986=TRUE(),E986,0)</f>
        <v>0</v>
      </c>
      <c r="J986" t="b" s="4">
        <v>1</v>
      </c>
      <c r="K986" t="b" s="4">
        <v>0</v>
      </c>
    </row>
    <row r="987" ht="17" customHeight="1">
      <c r="A987" s="4">
        <v>851</v>
      </c>
      <c r="B987" s="5">
        <v>41609</v>
      </c>
      <c r="C987" t="s" s="3">
        <v>90</v>
      </c>
      <c r="D987" t="s" s="3">
        <v>443</v>
      </c>
      <c r="E987" s="6">
        <v>26491</v>
      </c>
      <c r="F987" s="6">
        <f>E987*0.19</f>
        <v>5033.29</v>
      </c>
      <c r="G987" s="6">
        <f>E987+F987</f>
        <v>31524.29</v>
      </c>
      <c r="H987" s="7">
        <f>IF(J987=TRUE(),E987,0)</f>
        <v>26491</v>
      </c>
      <c r="I987" s="7">
        <f>IF(K987=TRUE(),E987,0)</f>
        <v>0</v>
      </c>
      <c r="J987" t="b" s="4">
        <v>1</v>
      </c>
      <c r="K987" t="b" s="4">
        <v>0</v>
      </c>
    </row>
    <row r="988" ht="17" customHeight="1">
      <c r="A988" s="4">
        <v>852</v>
      </c>
      <c r="B988" s="5">
        <v>41609</v>
      </c>
      <c r="C988" t="s" s="3">
        <v>183</v>
      </c>
      <c r="D988" t="s" s="3">
        <v>23</v>
      </c>
      <c r="E988" s="6">
        <v>68318</v>
      </c>
      <c r="F988" s="6">
        <f>E988*0.19</f>
        <v>12980.42</v>
      </c>
      <c r="G988" s="6">
        <f>E988+F988</f>
        <v>81298.42</v>
      </c>
      <c r="H988" s="7">
        <f>IF(J988=TRUE(),E988,0)</f>
        <v>68318</v>
      </c>
      <c r="I988" s="7">
        <f>IF(K988=TRUE(),E988,0)</f>
        <v>0</v>
      </c>
      <c r="J988" t="b" s="4">
        <v>1</v>
      </c>
      <c r="K988" t="b" s="4">
        <v>0</v>
      </c>
    </row>
    <row r="989" ht="17" customHeight="1">
      <c r="A989" s="4">
        <v>853</v>
      </c>
      <c r="B989" s="5">
        <v>41609</v>
      </c>
      <c r="C989" t="s" s="3">
        <v>120</v>
      </c>
      <c r="D989" t="s" s="3">
        <v>23</v>
      </c>
      <c r="E989" s="6">
        <v>433843</v>
      </c>
      <c r="F989" s="6">
        <f>E989*0.19</f>
        <v>82430.17</v>
      </c>
      <c r="G989" s="6">
        <f>E989+F989</f>
        <v>516273.17</v>
      </c>
      <c r="H989" s="7">
        <f>IF(J989=TRUE(),E989,0)</f>
        <v>433843</v>
      </c>
      <c r="I989" s="7">
        <f>IF(K989=TRUE(),E989,0)</f>
        <v>0</v>
      </c>
      <c r="J989" t="b" s="4">
        <v>1</v>
      </c>
      <c r="K989" t="b" s="4">
        <v>0</v>
      </c>
    </row>
    <row r="990" ht="17" customHeight="1">
      <c r="A990" s="4">
        <v>854</v>
      </c>
      <c r="B990" s="5">
        <v>41609</v>
      </c>
      <c r="C990" t="s" s="3">
        <v>127</v>
      </c>
      <c r="D990" t="s" s="3">
        <v>23</v>
      </c>
      <c r="E990" s="6">
        <v>540270</v>
      </c>
      <c r="F990" s="6">
        <f>E990*0.19</f>
        <v>102651.3</v>
      </c>
      <c r="G990" s="6">
        <f>E990+F990</f>
        <v>642921.3</v>
      </c>
      <c r="H990" s="7">
        <f>IF(J990=TRUE(),E990,0)</f>
        <v>540270</v>
      </c>
      <c r="I990" s="7">
        <f>IF(K990=TRUE(),E990,0)</f>
        <v>0</v>
      </c>
      <c r="J990" t="b" s="4">
        <v>1</v>
      </c>
      <c r="K990" t="b" s="4">
        <v>0</v>
      </c>
    </row>
    <row r="991" ht="17.5" customHeight="1">
      <c r="A991" s="9">
        <v>855</v>
      </c>
      <c r="B991" s="5">
        <v>41609</v>
      </c>
      <c r="C991" t="s" s="10">
        <v>33</v>
      </c>
      <c r="D991" t="s" s="10">
        <v>23</v>
      </c>
      <c r="E991" s="11">
        <v>963889</v>
      </c>
      <c r="F991" s="11">
        <f>E991*0.19</f>
        <v>183138.91</v>
      </c>
      <c r="G991" s="11">
        <f>E991+F991</f>
        <v>1147027.91</v>
      </c>
      <c r="H991" s="12">
        <f>IF(J991=TRUE(),E991,0)</f>
        <v>963889</v>
      </c>
      <c r="I991" s="12">
        <f>IF(K991=TRUE(),E991,0)</f>
        <v>0</v>
      </c>
      <c r="J991" t="b" s="9">
        <v>1</v>
      </c>
      <c r="K991" t="b" s="9">
        <v>0</v>
      </c>
    </row>
    <row r="992" ht="18" customHeight="1">
      <c r="A992" s="13">
        <v>31</v>
      </c>
      <c r="B992" t="s" s="3">
        <v>444</v>
      </c>
      <c r="C992" t="s" s="14">
        <v>7</v>
      </c>
      <c r="D992" s="14"/>
      <c r="E992" s="15">
        <f>SUM(E961:E991)</f>
        <v>4935035</v>
      </c>
      <c r="F992" s="15">
        <f>SUM(F961:F991)</f>
        <v>937656.6500000003</v>
      </c>
      <c r="G992" s="16">
        <f>SUM(G961:G991)</f>
        <v>5872691.65</v>
      </c>
      <c r="H992" s="17">
        <f>SUM(H961:H991)</f>
        <v>3604577</v>
      </c>
      <c r="I992" s="17"/>
      <c r="J992" s="18">
        <f>COUNTIF(J961:J991,TRUE())</f>
        <v>30</v>
      </c>
      <c r="K992" s="19"/>
    </row>
    <row r="993" ht="17.5" customHeight="1">
      <c r="A993" s="20"/>
      <c r="B993" s="5"/>
      <c r="C993" s="20"/>
      <c r="D993" s="21"/>
      <c r="E993" s="20"/>
      <c r="F993" s="20"/>
      <c r="G993" s="20"/>
      <c r="H993" s="22"/>
      <c r="I993" s="22"/>
      <c r="J993" s="20"/>
      <c r="K993" s="20"/>
    </row>
    <row r="994" ht="17" customHeight="1">
      <c r="A994" t="s" s="3">
        <v>1</v>
      </c>
      <c r="B994" t="s" s="3">
        <v>2</v>
      </c>
      <c r="C994" t="s" s="3">
        <v>3</v>
      </c>
      <c r="D994" t="s" s="3">
        <v>4</v>
      </c>
      <c r="E994" t="s" s="3">
        <v>5</v>
      </c>
      <c r="F994" t="s" s="3">
        <v>6</v>
      </c>
      <c r="G994" t="s" s="3">
        <v>7</v>
      </c>
      <c r="H994" s="7"/>
      <c r="I994" s="7"/>
      <c r="J994" s="8"/>
      <c r="K994" s="8"/>
    </row>
    <row r="995" ht="17" customHeight="1">
      <c r="A995" s="4">
        <v>856</v>
      </c>
      <c r="B995" s="5">
        <v>41640</v>
      </c>
      <c r="C995" t="s" s="3">
        <v>216</v>
      </c>
      <c r="D995" t="s" s="3">
        <v>445</v>
      </c>
      <c r="E995" s="6">
        <v>252500</v>
      </c>
      <c r="F995" s="6">
        <f>E995*0.19</f>
        <v>47975</v>
      </c>
      <c r="G995" s="6">
        <f>E995+F995</f>
        <v>300475</v>
      </c>
      <c r="H995" s="7">
        <f>IF(J995=TRUE(),E995,0)</f>
        <v>0</v>
      </c>
      <c r="I995" s="7">
        <f>IF(K995=TRUE(),E995,0)</f>
        <v>0</v>
      </c>
      <c r="J995" t="b" s="4">
        <v>0</v>
      </c>
      <c r="K995" t="b" s="4">
        <v>0</v>
      </c>
    </row>
    <row r="996" ht="17" customHeight="1">
      <c r="A996" s="4">
        <v>857</v>
      </c>
      <c r="B996" s="5">
        <v>41640</v>
      </c>
      <c r="C996" t="s" s="3">
        <v>318</v>
      </c>
      <c r="D996" t="s" s="3">
        <v>446</v>
      </c>
      <c r="E996" s="6">
        <v>531250</v>
      </c>
      <c r="F996" s="6">
        <f>E996*0.19</f>
        <v>100937.5</v>
      </c>
      <c r="G996" s="6">
        <f>E996+F996</f>
        <v>632187.5</v>
      </c>
      <c r="H996" s="7">
        <f>IF(J996=TRUE(),E996,0)</f>
        <v>0</v>
      </c>
      <c r="I996" s="7">
        <f>IF(K996=TRUE(),E996,0)</f>
        <v>0</v>
      </c>
      <c r="J996" t="b" s="4">
        <v>0</v>
      </c>
      <c r="K996" t="b" s="4">
        <v>0</v>
      </c>
    </row>
    <row r="997" ht="17" customHeight="1">
      <c r="A997" s="4">
        <v>858</v>
      </c>
      <c r="B997" s="5">
        <v>41640</v>
      </c>
      <c r="C997" t="s" s="3">
        <v>10</v>
      </c>
      <c r="D997" t="s" s="3">
        <v>447</v>
      </c>
      <c r="E997" s="6">
        <v>293000</v>
      </c>
      <c r="F997" s="6">
        <f>E997*0.19</f>
        <v>55670</v>
      </c>
      <c r="G997" s="6">
        <f>E997+F997</f>
        <v>348670</v>
      </c>
      <c r="H997" s="7">
        <f>IF(J997=TRUE(),E997,0)</f>
        <v>0</v>
      </c>
      <c r="I997" s="7">
        <f>IF(K997=TRUE(),E997,0)</f>
        <v>0</v>
      </c>
      <c r="J997" t="b" s="4">
        <v>0</v>
      </c>
      <c r="K997" t="b" s="4">
        <v>0</v>
      </c>
    </row>
    <row r="998" ht="17" customHeight="1">
      <c r="A998" s="4">
        <v>859</v>
      </c>
      <c r="B998" s="5">
        <v>41640</v>
      </c>
      <c r="C998" t="s" s="3">
        <v>357</v>
      </c>
      <c r="D998" t="s" s="3">
        <v>121</v>
      </c>
      <c r="E998" s="6">
        <v>70000</v>
      </c>
      <c r="F998" s="6">
        <f>E998*0.19</f>
        <v>13300</v>
      </c>
      <c r="G998" s="6">
        <f>E998+F998</f>
        <v>83300</v>
      </c>
      <c r="H998" s="7">
        <f>IF(J998=TRUE(),E998,0)</f>
        <v>0</v>
      </c>
      <c r="I998" s="7">
        <f>IF(K998=TRUE(),E998,0)</f>
        <v>0</v>
      </c>
      <c r="J998" t="b" s="4">
        <v>0</v>
      </c>
      <c r="K998" t="b" s="4">
        <v>0</v>
      </c>
    </row>
    <row r="999" ht="17" customHeight="1">
      <c r="A999" s="4">
        <v>860</v>
      </c>
      <c r="B999" s="5">
        <v>41640</v>
      </c>
      <c r="C999" t="s" s="3">
        <v>216</v>
      </c>
      <c r="D999" t="s" s="3">
        <v>448</v>
      </c>
      <c r="E999" s="6">
        <v>60500</v>
      </c>
      <c r="F999" s="6">
        <f>E999*0.19</f>
        <v>11495</v>
      </c>
      <c r="G999" s="6">
        <f>E999+F999</f>
        <v>71995</v>
      </c>
      <c r="H999" s="7">
        <f>IF(J999=TRUE(),E999,0)</f>
        <v>0</v>
      </c>
      <c r="I999" s="7">
        <f>IF(K999=TRUE(),E999,0)</f>
        <v>0</v>
      </c>
      <c r="J999" t="b" s="4">
        <v>0</v>
      </c>
      <c r="K999" t="b" s="4">
        <v>0</v>
      </c>
    </row>
    <row r="1000" ht="17" customHeight="1">
      <c r="A1000" s="4">
        <v>861</v>
      </c>
      <c r="B1000" s="5">
        <v>41640</v>
      </c>
      <c r="C1000" t="s" s="3">
        <v>357</v>
      </c>
      <c r="D1000" t="s" s="3">
        <v>32</v>
      </c>
      <c r="E1000" s="6">
        <v>328707</v>
      </c>
      <c r="F1000" s="6">
        <f>E1000*0.19</f>
        <v>62454.33</v>
      </c>
      <c r="G1000" s="6">
        <f>E1000+F1000</f>
        <v>391161.33</v>
      </c>
      <c r="H1000" s="7">
        <f>IF(J1000=TRUE(),E1000,0)</f>
        <v>328707</v>
      </c>
      <c r="I1000" s="7">
        <f>IF(K1000=TRUE(),E1000,0)</f>
        <v>0</v>
      </c>
      <c r="J1000" t="b" s="4">
        <v>1</v>
      </c>
      <c r="K1000" t="b" s="4">
        <v>0</v>
      </c>
    </row>
    <row r="1001" ht="17" customHeight="1">
      <c r="A1001" s="4">
        <v>862</v>
      </c>
      <c r="B1001" s="5">
        <v>41640</v>
      </c>
      <c r="C1001" t="s" s="3">
        <v>66</v>
      </c>
      <c r="D1001" t="s" s="3">
        <v>32</v>
      </c>
      <c r="E1001" s="6">
        <v>142207</v>
      </c>
      <c r="F1001" s="6">
        <f>E1001*0.19</f>
        <v>27019.33</v>
      </c>
      <c r="G1001" s="6">
        <f>E1001+F1001</f>
        <v>169226.33</v>
      </c>
      <c r="H1001" s="7">
        <f>IF(J1001=TRUE(),E1001,0)</f>
        <v>142207</v>
      </c>
      <c r="I1001" s="7">
        <f>IF(K1001=TRUE(),E1001,0)</f>
        <v>0</v>
      </c>
      <c r="J1001" t="b" s="4">
        <v>1</v>
      </c>
      <c r="K1001" t="b" s="4">
        <v>0</v>
      </c>
    </row>
    <row r="1002" ht="17" customHeight="1">
      <c r="A1002" s="4">
        <v>863</v>
      </c>
      <c r="B1002" s="5">
        <v>41640</v>
      </c>
      <c r="C1002" t="s" s="3">
        <v>40</v>
      </c>
      <c r="D1002" t="s" s="3">
        <v>32</v>
      </c>
      <c r="E1002" s="6">
        <v>158000</v>
      </c>
      <c r="F1002" s="6">
        <f>E1002*0.19</f>
        <v>30020</v>
      </c>
      <c r="G1002" s="6">
        <f>E1002+F1002</f>
        <v>188020</v>
      </c>
      <c r="H1002" s="7">
        <f>IF(J1002=TRUE(),E1002,0)</f>
        <v>158000</v>
      </c>
      <c r="I1002" s="7">
        <f>IF(K1002=TRUE(),E1002,0)</f>
        <v>0</v>
      </c>
      <c r="J1002" t="b" s="4">
        <v>1</v>
      </c>
      <c r="K1002" t="b" s="4">
        <v>0</v>
      </c>
    </row>
    <row r="1003" ht="17" customHeight="1">
      <c r="A1003" s="4">
        <v>864</v>
      </c>
      <c r="B1003" s="5">
        <v>41640</v>
      </c>
      <c r="C1003" t="s" s="3">
        <v>22</v>
      </c>
      <c r="D1003" t="s" s="3">
        <v>32</v>
      </c>
      <c r="E1003" s="6">
        <v>162255</v>
      </c>
      <c r="F1003" s="6">
        <f>E1003*0.19</f>
        <v>30828.45</v>
      </c>
      <c r="G1003" s="6">
        <f>E1003+F1003</f>
        <v>193083.45</v>
      </c>
      <c r="H1003" s="7">
        <f>IF(J1003=TRUE(),E1003,0)</f>
        <v>162255</v>
      </c>
      <c r="I1003" s="7">
        <f>IF(K1003=TRUE(),E1003,0)</f>
        <v>0</v>
      </c>
      <c r="J1003" t="b" s="4">
        <v>1</v>
      </c>
      <c r="K1003" t="b" s="4">
        <v>0</v>
      </c>
    </row>
    <row r="1004" ht="17" customHeight="1">
      <c r="A1004" s="4">
        <v>865</v>
      </c>
      <c r="B1004" s="5">
        <v>41640</v>
      </c>
      <c r="C1004" t="s" s="3">
        <v>60</v>
      </c>
      <c r="D1004" t="s" s="3">
        <v>32</v>
      </c>
      <c r="E1004" s="6">
        <v>70870</v>
      </c>
      <c r="F1004" s="6">
        <f>E1004*0.19</f>
        <v>13465.3</v>
      </c>
      <c r="G1004" s="6">
        <f>E1004+F1004</f>
        <v>84335.3</v>
      </c>
      <c r="H1004" s="7">
        <f>IF(J1004=TRUE(),E1004,0)</f>
        <v>70870</v>
      </c>
      <c r="I1004" s="7">
        <f>IF(K1004=TRUE(),E1004,0)</f>
        <v>0</v>
      </c>
      <c r="J1004" t="b" s="4">
        <v>1</v>
      </c>
      <c r="K1004" t="b" s="4">
        <v>0</v>
      </c>
    </row>
    <row r="1005" ht="17" customHeight="1">
      <c r="A1005" s="4">
        <v>866</v>
      </c>
      <c r="B1005" s="5">
        <v>41640</v>
      </c>
      <c r="C1005" t="s" s="3">
        <v>34</v>
      </c>
      <c r="D1005" t="s" s="3">
        <v>32</v>
      </c>
      <c r="E1005" s="6">
        <v>54551</v>
      </c>
      <c r="F1005" s="6">
        <f>E1005*0.19</f>
        <v>10364.69</v>
      </c>
      <c r="G1005" s="6">
        <f>E1005+F1005</f>
        <v>64915.69</v>
      </c>
      <c r="H1005" s="7">
        <f>IF(J1005=TRUE(),E1005,0)</f>
        <v>54551</v>
      </c>
      <c r="I1005" s="7">
        <f>IF(K1005=TRUE(),E1005,0)</f>
        <v>0</v>
      </c>
      <c r="J1005" t="b" s="4">
        <v>1</v>
      </c>
      <c r="K1005" t="b" s="4">
        <v>0</v>
      </c>
    </row>
    <row r="1006" ht="17" customHeight="1">
      <c r="A1006" s="4">
        <v>867</v>
      </c>
      <c r="B1006" s="5">
        <v>41640</v>
      </c>
      <c r="C1006" t="s" s="3">
        <v>42</v>
      </c>
      <c r="D1006" t="s" s="3">
        <v>32</v>
      </c>
      <c r="E1006" s="6">
        <v>312155</v>
      </c>
      <c r="F1006" s="6">
        <f>E1006*0.19</f>
        <v>59309.45</v>
      </c>
      <c r="G1006" s="6">
        <f>E1006+F1006</f>
        <v>371464.45</v>
      </c>
      <c r="H1006" s="7">
        <f>IF(J1006=TRUE(),E1006,0)</f>
        <v>312155</v>
      </c>
      <c r="I1006" s="7">
        <f>IF(K1006=TRUE(),E1006,0)</f>
        <v>0</v>
      </c>
      <c r="J1006" t="b" s="4">
        <v>1</v>
      </c>
      <c r="K1006" t="b" s="4">
        <v>0</v>
      </c>
    </row>
    <row r="1007" ht="17" customHeight="1">
      <c r="A1007" s="4">
        <v>868</v>
      </c>
      <c r="B1007" s="5">
        <v>41640</v>
      </c>
      <c r="C1007" t="s" s="3">
        <v>384</v>
      </c>
      <c r="D1007" t="s" s="3">
        <v>32</v>
      </c>
      <c r="E1007" s="6">
        <v>40797</v>
      </c>
      <c r="F1007" s="6">
        <f>E1007*0.19</f>
        <v>7751.43</v>
      </c>
      <c r="G1007" s="6">
        <f>E1007+F1007</f>
        <v>48548.43</v>
      </c>
      <c r="H1007" s="7">
        <f>IF(J1007=TRUE(),E1007,0)</f>
        <v>40797</v>
      </c>
      <c r="I1007" s="7">
        <f>IF(K1007=TRUE(),E1007,0)</f>
        <v>0</v>
      </c>
      <c r="J1007" t="b" s="4">
        <v>1</v>
      </c>
      <c r="K1007" t="b" s="4">
        <v>0</v>
      </c>
    </row>
    <row r="1008" ht="17" customHeight="1">
      <c r="A1008" s="4">
        <v>869</v>
      </c>
      <c r="B1008" s="5">
        <v>41640</v>
      </c>
      <c r="C1008" t="s" s="3">
        <v>230</v>
      </c>
      <c r="D1008" t="s" s="3">
        <v>32</v>
      </c>
      <c r="E1008" s="6">
        <v>23313</v>
      </c>
      <c r="F1008" s="6">
        <f>E1008*0.19</f>
        <v>4429.47</v>
      </c>
      <c r="G1008" s="6">
        <f>E1008+F1008</f>
        <v>27742.47</v>
      </c>
      <c r="H1008" s="7">
        <f>IF(J1008=TRUE(),E1008,0)</f>
        <v>23313</v>
      </c>
      <c r="I1008" s="7">
        <f>IF(K1008=TRUE(),E1008,0)</f>
        <v>0</v>
      </c>
      <c r="J1008" t="b" s="4">
        <v>1</v>
      </c>
      <c r="K1008" t="b" s="4">
        <v>0</v>
      </c>
    </row>
    <row r="1009" ht="17" customHeight="1">
      <c r="A1009" s="4">
        <v>870</v>
      </c>
      <c r="B1009" s="5">
        <v>41640</v>
      </c>
      <c r="C1009" t="s" s="3">
        <v>216</v>
      </c>
      <c r="D1009" t="s" s="3">
        <v>32</v>
      </c>
      <c r="E1009" s="6">
        <v>227531</v>
      </c>
      <c r="F1009" s="6">
        <f>E1009*0.19</f>
        <v>43230.89</v>
      </c>
      <c r="G1009" s="6">
        <f>E1009+F1009</f>
        <v>270761.89</v>
      </c>
      <c r="H1009" s="7">
        <f>IF(J1009=TRUE(),E1009,0)</f>
        <v>227531</v>
      </c>
      <c r="I1009" s="7">
        <f>IF(K1009=TRUE(),E1009,0)</f>
        <v>0</v>
      </c>
      <c r="J1009" t="b" s="4">
        <v>1</v>
      </c>
      <c r="K1009" t="b" s="4">
        <v>0</v>
      </c>
    </row>
    <row r="1010" ht="17" customHeight="1">
      <c r="A1010" s="4">
        <v>871</v>
      </c>
      <c r="B1010" s="5">
        <v>41640</v>
      </c>
      <c r="C1010" t="s" s="3">
        <v>216</v>
      </c>
      <c r="D1010" t="s" s="3">
        <v>32</v>
      </c>
      <c r="E1010" s="6">
        <v>55950</v>
      </c>
      <c r="F1010" s="6">
        <f>E1010*0.19</f>
        <v>10630.5</v>
      </c>
      <c r="G1010" s="6">
        <f>E1010+F1010</f>
        <v>66580.5</v>
      </c>
      <c r="H1010" s="7">
        <f>IF(J1010=TRUE(),E1010,0)</f>
        <v>55950</v>
      </c>
      <c r="I1010" s="7">
        <f>IF(K1010=TRUE(),E1010,0)</f>
        <v>0</v>
      </c>
      <c r="J1010" t="b" s="4">
        <v>1</v>
      </c>
      <c r="K1010" t="b" s="4">
        <v>0</v>
      </c>
    </row>
    <row r="1011" ht="17" customHeight="1">
      <c r="A1011" s="4">
        <v>872</v>
      </c>
      <c r="B1011" s="5">
        <v>41640</v>
      </c>
      <c r="C1011" t="s" s="3">
        <v>90</v>
      </c>
      <c r="D1011" t="s" s="3">
        <v>32</v>
      </c>
      <c r="E1011" s="6">
        <v>26576</v>
      </c>
      <c r="F1011" s="6">
        <f>E1011*0.19</f>
        <v>5049.440000000001</v>
      </c>
      <c r="G1011" s="6">
        <f>E1011+F1011</f>
        <v>31625.44</v>
      </c>
      <c r="H1011" s="7">
        <f>IF(J1011=TRUE(),E1011,0)</f>
        <v>26576</v>
      </c>
      <c r="I1011" s="7">
        <f>IF(K1011=TRUE(),E1011,0)</f>
        <v>0</v>
      </c>
      <c r="J1011" t="b" s="4">
        <v>1</v>
      </c>
      <c r="K1011" t="b" s="4">
        <v>0</v>
      </c>
    </row>
    <row r="1012" ht="17" customHeight="1">
      <c r="A1012" s="4">
        <v>873</v>
      </c>
      <c r="B1012" s="5">
        <v>41640</v>
      </c>
      <c r="C1012" t="s" s="3">
        <v>183</v>
      </c>
      <c r="D1012" t="s" s="3">
        <v>32</v>
      </c>
      <c r="E1012" s="6">
        <v>68539</v>
      </c>
      <c r="F1012" s="6">
        <f>E1012*0.19</f>
        <v>13022.41</v>
      </c>
      <c r="G1012" s="6">
        <f>E1012+F1012</f>
        <v>81561.41</v>
      </c>
      <c r="H1012" s="7">
        <f>IF(J1012=TRUE(),E1012,0)</f>
        <v>68539</v>
      </c>
      <c r="I1012" s="7">
        <f>IF(K1012=TRUE(),E1012,0)</f>
        <v>0</v>
      </c>
      <c r="J1012" t="b" s="4">
        <v>1</v>
      </c>
      <c r="K1012" t="b" s="4">
        <v>0</v>
      </c>
    </row>
    <row r="1013" ht="17" customHeight="1">
      <c r="A1013" s="4">
        <v>874</v>
      </c>
      <c r="B1013" s="5">
        <v>41640</v>
      </c>
      <c r="C1013" t="s" s="3">
        <v>120</v>
      </c>
      <c r="D1013" t="s" s="3">
        <v>32</v>
      </c>
      <c r="E1013" s="6">
        <v>435246</v>
      </c>
      <c r="F1013" s="6">
        <f>E1013*0.19</f>
        <v>82696.740000000005</v>
      </c>
      <c r="G1013" s="6">
        <f>E1013+F1013</f>
        <v>517942.74</v>
      </c>
      <c r="H1013" s="7">
        <f>IF(J1013=TRUE(),E1013,0)</f>
        <v>435246</v>
      </c>
      <c r="I1013" s="7">
        <f>IF(K1013=TRUE(),E1013,0)</f>
        <v>0</v>
      </c>
      <c r="J1013" t="b" s="4">
        <v>1</v>
      </c>
      <c r="K1013" t="b" s="4">
        <v>0</v>
      </c>
    </row>
    <row r="1014" ht="17" customHeight="1">
      <c r="A1014" s="4">
        <v>875</v>
      </c>
      <c r="B1014" s="5">
        <v>41640</v>
      </c>
      <c r="C1014" t="s" s="3">
        <v>127</v>
      </c>
      <c r="D1014" t="s" s="3">
        <v>32</v>
      </c>
      <c r="E1014" s="6">
        <v>542017</v>
      </c>
      <c r="F1014" s="6">
        <f>E1014*0.19</f>
        <v>102983.23</v>
      </c>
      <c r="G1014" s="6">
        <f>E1014+F1014</f>
        <v>645000.23</v>
      </c>
      <c r="H1014" s="7">
        <f>IF(J1014=TRUE(),E1014,0)</f>
        <v>542017</v>
      </c>
      <c r="I1014" s="7">
        <f>IF(K1014=TRUE(),E1014,0)</f>
        <v>0</v>
      </c>
      <c r="J1014" t="b" s="4">
        <v>1</v>
      </c>
      <c r="K1014" t="b" s="4">
        <v>0</v>
      </c>
    </row>
    <row r="1015" ht="17" customHeight="1">
      <c r="A1015" s="4">
        <v>876</v>
      </c>
      <c r="B1015" s="5">
        <v>41640</v>
      </c>
      <c r="C1015" t="s" s="3">
        <v>33</v>
      </c>
      <c r="D1015" t="s" s="3">
        <v>32</v>
      </c>
      <c r="E1015" s="6">
        <v>43361</v>
      </c>
      <c r="F1015" s="6">
        <f>E1015*0.19</f>
        <v>8238.59</v>
      </c>
      <c r="G1015" s="6">
        <f>E1015+F1015</f>
        <v>51599.59</v>
      </c>
      <c r="H1015" s="7">
        <f>IF(J1015=TRUE(),E1015,0)</f>
        <v>43361</v>
      </c>
      <c r="I1015" s="7">
        <f>IF(K1015=TRUE(),E1015,0)</f>
        <v>0</v>
      </c>
      <c r="J1015" t="b" s="4">
        <v>1</v>
      </c>
      <c r="K1015" t="b" s="4">
        <v>0</v>
      </c>
    </row>
    <row r="1016" ht="17" customHeight="1">
      <c r="A1016" s="4">
        <v>877</v>
      </c>
      <c r="B1016" s="5">
        <v>41640</v>
      </c>
      <c r="C1016" t="s" s="3">
        <v>449</v>
      </c>
      <c r="D1016" t="s" s="3">
        <v>32</v>
      </c>
      <c r="E1016" s="6">
        <v>609336</v>
      </c>
      <c r="F1016" s="6">
        <f>E1016*0.19</f>
        <v>115773.84</v>
      </c>
      <c r="G1016" s="6">
        <f>E1016+F1016</f>
        <v>725109.84</v>
      </c>
      <c r="H1016" s="7">
        <f>IF(J1016=TRUE(),E1016,0)</f>
        <v>609336</v>
      </c>
      <c r="I1016" s="7">
        <f>IF(K1016=TRUE(),E1016,0)</f>
        <v>0</v>
      </c>
      <c r="J1016" t="b" s="4">
        <v>1</v>
      </c>
      <c r="K1016" t="b" s="4">
        <v>0</v>
      </c>
    </row>
    <row r="1017" ht="17" customHeight="1">
      <c r="A1017" s="4">
        <v>878</v>
      </c>
      <c r="B1017" s="5">
        <v>41640</v>
      </c>
      <c r="C1017" t="s" s="3">
        <v>316</v>
      </c>
      <c r="D1017" t="s" s="3">
        <v>32</v>
      </c>
      <c r="E1017" s="6">
        <v>328104</v>
      </c>
      <c r="F1017" s="6">
        <f>E1017*0.19</f>
        <v>62339.76</v>
      </c>
      <c r="G1017" s="6">
        <f>E1017+F1017</f>
        <v>390443.76</v>
      </c>
      <c r="H1017" s="7">
        <f>IF(J1017=TRUE(),E1017,0)</f>
        <v>328104</v>
      </c>
      <c r="I1017" s="7">
        <f>IF(K1017=TRUE(),E1017,0)</f>
        <v>0</v>
      </c>
      <c r="J1017" t="b" s="4">
        <v>1</v>
      </c>
      <c r="K1017" t="b" s="4">
        <v>0</v>
      </c>
    </row>
    <row r="1018" ht="17" customHeight="1">
      <c r="A1018" s="4">
        <v>879</v>
      </c>
      <c r="B1018" s="5">
        <v>41640</v>
      </c>
      <c r="C1018" t="s" s="3">
        <v>420</v>
      </c>
      <c r="D1018" t="s" s="3">
        <v>32</v>
      </c>
      <c r="E1018" s="6">
        <v>281232</v>
      </c>
      <c r="F1018" s="6">
        <f>E1018*0.19</f>
        <v>53434.08</v>
      </c>
      <c r="G1018" s="6">
        <f>E1018+F1018</f>
        <v>334666.08</v>
      </c>
      <c r="H1018" s="7">
        <f>IF(J1018=TRUE(),E1018,0)</f>
        <v>281232</v>
      </c>
      <c r="I1018" s="7">
        <f>IF(K1018=TRUE(),E1018,0)</f>
        <v>0</v>
      </c>
      <c r="J1018" t="b" s="4">
        <v>1</v>
      </c>
      <c r="K1018" t="b" s="4">
        <v>0</v>
      </c>
    </row>
    <row r="1019" ht="17" customHeight="1">
      <c r="A1019" s="4">
        <v>880</v>
      </c>
      <c r="B1019" s="5">
        <v>41640</v>
      </c>
      <c r="C1019" t="s" s="3">
        <v>10</v>
      </c>
      <c r="D1019" t="s" s="3">
        <v>450</v>
      </c>
      <c r="E1019" s="6">
        <v>302200</v>
      </c>
      <c r="F1019" s="6">
        <f>E1019*0.19</f>
        <v>57418</v>
      </c>
      <c r="G1019" s="6">
        <f>E1019+F1019</f>
        <v>359618</v>
      </c>
      <c r="H1019" s="7">
        <f>IF(J1019=TRUE(),E1019,0)</f>
        <v>0</v>
      </c>
      <c r="I1019" s="7">
        <f>IF(K1019=TRUE(),E1019,0)</f>
        <v>0</v>
      </c>
      <c r="J1019" t="b" s="4">
        <v>0</v>
      </c>
      <c r="K1019" t="b" s="4">
        <v>0</v>
      </c>
    </row>
    <row r="1020" ht="17" customHeight="1">
      <c r="A1020" s="4">
        <v>881</v>
      </c>
      <c r="B1020" s="5">
        <v>41640</v>
      </c>
      <c r="C1020" t="s" s="3">
        <v>34</v>
      </c>
      <c r="D1020" t="s" s="3">
        <v>451</v>
      </c>
      <c r="E1020" s="6">
        <v>739000</v>
      </c>
      <c r="F1020" s="6">
        <f>E1020*0.19</f>
        <v>140410</v>
      </c>
      <c r="G1020" s="6">
        <f>E1020+F1020</f>
        <v>879410</v>
      </c>
      <c r="H1020" s="7">
        <f>IF(J1020=TRUE(),E1020,0)</f>
        <v>0</v>
      </c>
      <c r="I1020" s="7">
        <f>IF(K1020=TRUE(),E1020,0)</f>
        <v>0</v>
      </c>
      <c r="J1020" t="b" s="4">
        <v>0</v>
      </c>
      <c r="K1020" t="b" s="4">
        <v>0</v>
      </c>
    </row>
    <row r="1021" ht="17" customHeight="1">
      <c r="A1021" s="4">
        <v>882</v>
      </c>
      <c r="B1021" s="5">
        <v>41640</v>
      </c>
      <c r="C1021" t="s" s="3">
        <v>60</v>
      </c>
      <c r="D1021" t="s" s="3">
        <v>452</v>
      </c>
      <c r="E1021" s="6">
        <v>125000</v>
      </c>
      <c r="F1021" s="6">
        <f>E1021*0.19</f>
        <v>23750</v>
      </c>
      <c r="G1021" s="6">
        <f>E1021+F1021</f>
        <v>148750</v>
      </c>
      <c r="H1021" s="7">
        <f>IF(J1021=TRUE(),E1021,0)</f>
        <v>0</v>
      </c>
      <c r="I1021" s="7">
        <f>IF(K1021=TRUE(),E1021,0)</f>
        <v>0</v>
      </c>
      <c r="J1021" t="b" s="4">
        <v>0</v>
      </c>
      <c r="K1021" t="b" s="4">
        <v>0</v>
      </c>
    </row>
    <row r="1022" ht="17" customHeight="1">
      <c r="A1022" s="4">
        <v>883</v>
      </c>
      <c r="B1022" s="5">
        <v>41640</v>
      </c>
      <c r="C1022" t="s" s="3">
        <v>189</v>
      </c>
      <c r="D1022" t="s" s="3">
        <v>453</v>
      </c>
      <c r="E1022" s="6">
        <v>95000</v>
      </c>
      <c r="F1022" s="6">
        <f>E1022*0.19</f>
        <v>18050</v>
      </c>
      <c r="G1022" s="6">
        <f>E1022+F1022</f>
        <v>113050</v>
      </c>
      <c r="H1022" s="7">
        <f>IF(J1022=TRUE(),E1022,0)</f>
        <v>0</v>
      </c>
      <c r="I1022" s="7">
        <f>IF(K1022=TRUE(),E1022,0)</f>
        <v>0</v>
      </c>
      <c r="J1022" t="b" s="4">
        <v>0</v>
      </c>
      <c r="K1022" t="b" s="4">
        <v>0</v>
      </c>
    </row>
    <row r="1023" ht="17" customHeight="1">
      <c r="A1023" s="4">
        <v>884</v>
      </c>
      <c r="B1023" s="5">
        <v>41640</v>
      </c>
      <c r="C1023" t="s" s="3">
        <v>216</v>
      </c>
      <c r="D1023" t="s" s="3">
        <v>454</v>
      </c>
      <c r="E1023" s="6">
        <v>312500</v>
      </c>
      <c r="F1023" s="6">
        <f>E1023*0.19</f>
        <v>59375</v>
      </c>
      <c r="G1023" s="6">
        <f>E1023+F1023</f>
        <v>371875</v>
      </c>
      <c r="H1023" s="7">
        <f>IF(J1023=TRUE(),E1023,0)</f>
        <v>0</v>
      </c>
      <c r="I1023" s="7">
        <f>IF(K1023=TRUE(),E1023,0)</f>
        <v>0</v>
      </c>
      <c r="J1023" t="b" s="4">
        <v>0</v>
      </c>
      <c r="K1023" t="b" s="4">
        <v>0</v>
      </c>
    </row>
    <row r="1024" ht="17" customHeight="1">
      <c r="A1024" s="4">
        <v>885</v>
      </c>
      <c r="B1024" s="5">
        <v>41654</v>
      </c>
      <c r="C1024" t="s" s="3">
        <v>127</v>
      </c>
      <c r="D1024" t="s" s="3">
        <v>455</v>
      </c>
      <c r="E1024" s="6">
        <v>840000</v>
      </c>
      <c r="F1024" s="6">
        <f>E1024*0.19</f>
        <v>159600</v>
      </c>
      <c r="G1024" s="6">
        <f>E1024+F1024</f>
        <v>999600</v>
      </c>
      <c r="H1024" s="7">
        <f>IF(J1024=TRUE(),E1024,0)</f>
        <v>0</v>
      </c>
      <c r="I1024" s="7">
        <f>IF(K1024=TRUE(),E1024,0)</f>
        <v>0</v>
      </c>
      <c r="J1024" t="b" s="4">
        <v>0</v>
      </c>
      <c r="K1024" t="b" s="4">
        <v>0</v>
      </c>
    </row>
    <row r="1025" ht="17" customHeight="1">
      <c r="A1025" s="4">
        <v>886</v>
      </c>
      <c r="B1025" s="5">
        <v>41669</v>
      </c>
      <c r="C1025" t="s" s="3">
        <v>127</v>
      </c>
      <c r="D1025" t="s" s="3">
        <v>456</v>
      </c>
      <c r="E1025" s="6">
        <v>3987000</v>
      </c>
      <c r="F1025" s="6">
        <f>E1025*0.19</f>
        <v>757530</v>
      </c>
      <c r="G1025" s="6">
        <f>E1025+F1025</f>
        <v>4744530</v>
      </c>
      <c r="H1025" s="7">
        <f>IF(J1025=TRUE(),E1025,0)</f>
        <v>0</v>
      </c>
      <c r="I1025" s="7">
        <f>IF(K1025=TRUE(),E1025,0)</f>
        <v>0</v>
      </c>
      <c r="J1025" t="b" s="4">
        <v>0</v>
      </c>
      <c r="K1025" t="b" s="4">
        <v>0</v>
      </c>
    </row>
    <row r="1026" ht="17" customHeight="1">
      <c r="A1026" s="4">
        <v>887</v>
      </c>
      <c r="B1026" s="5">
        <v>41669</v>
      </c>
      <c r="C1026" t="s" s="3">
        <v>457</v>
      </c>
      <c r="D1026" t="s" s="3">
        <v>458</v>
      </c>
      <c r="E1026" s="6">
        <v>529510</v>
      </c>
      <c r="F1026" s="6">
        <f>E1026*0.19</f>
        <v>100606.9</v>
      </c>
      <c r="G1026" s="6">
        <f>E1026+F1026</f>
        <v>630116.9</v>
      </c>
      <c r="H1026" s="7">
        <f>IF(J1026=TRUE(),E1026,0)</f>
        <v>0</v>
      </c>
      <c r="I1026" s="7">
        <f>IF(K1026=TRUE(),E1026,0)</f>
        <v>0</v>
      </c>
      <c r="J1026" t="b" s="4">
        <v>0</v>
      </c>
      <c r="K1026" t="b" s="4">
        <v>0</v>
      </c>
    </row>
    <row r="1027" ht="17.5" customHeight="1">
      <c r="A1027" s="9">
        <v>888</v>
      </c>
      <c r="B1027" s="5">
        <v>41640</v>
      </c>
      <c r="C1027" t="s" s="10">
        <v>318</v>
      </c>
      <c r="D1027" t="s" s="10">
        <v>459</v>
      </c>
      <c r="E1027" s="11">
        <v>50000</v>
      </c>
      <c r="F1027" s="11">
        <f>E1027*0.19</f>
        <v>9500</v>
      </c>
      <c r="G1027" s="11">
        <f>E1027+F1027</f>
        <v>59500</v>
      </c>
      <c r="H1027" s="12">
        <f>IF(J1027=TRUE(),E1027,0)</f>
        <v>0</v>
      </c>
      <c r="I1027" s="12">
        <f>IF(K1027=TRUE(),E1027,0)</f>
        <v>0</v>
      </c>
      <c r="J1027" t="b" s="9">
        <v>0</v>
      </c>
      <c r="K1027" t="b" s="9">
        <v>0</v>
      </c>
    </row>
    <row r="1028" ht="18" customHeight="1">
      <c r="A1028" s="13">
        <f>COUNT(A995:A1027)</f>
        <v>33</v>
      </c>
      <c r="B1028" t="s" s="3">
        <v>460</v>
      </c>
      <c r="C1028" t="s" s="14">
        <v>7</v>
      </c>
      <c r="D1028" s="14"/>
      <c r="E1028" s="15">
        <f>SUM(E995:E1027)</f>
        <v>12098207</v>
      </c>
      <c r="F1028" s="15">
        <f>SUM(F995:F1027)</f>
        <v>2298659.33</v>
      </c>
      <c r="G1028" s="16">
        <f>SUM(G995:G1027)</f>
        <v>14396866.33</v>
      </c>
      <c r="H1028" s="17">
        <f>SUM(H995:H1027)</f>
        <v>3910747</v>
      </c>
      <c r="I1028" s="17"/>
      <c r="J1028" s="18">
        <f>COUNTIF(J995:J1027,TRUE())</f>
        <v>19</v>
      </c>
      <c r="K1028" s="19"/>
    </row>
    <row r="1029" ht="17.5" customHeight="1">
      <c r="A1029" s="20"/>
      <c r="B1029" s="5"/>
      <c r="C1029" s="20"/>
      <c r="D1029" s="21"/>
      <c r="E1029" s="20"/>
      <c r="F1029" s="20"/>
      <c r="G1029" s="20"/>
      <c r="H1029" s="22"/>
      <c r="I1029" s="22"/>
      <c r="J1029" s="20"/>
      <c r="K1029" s="20"/>
    </row>
    <row r="1030" ht="17" customHeight="1">
      <c r="A1030" t="s" s="3">
        <v>1</v>
      </c>
      <c r="B1030" t="s" s="3">
        <v>2</v>
      </c>
      <c r="C1030" t="s" s="3">
        <v>3</v>
      </c>
      <c r="D1030" t="s" s="3">
        <v>4</v>
      </c>
      <c r="E1030" t="s" s="3">
        <v>5</v>
      </c>
      <c r="F1030" t="s" s="3">
        <v>6</v>
      </c>
      <c r="G1030" t="s" s="3">
        <v>7</v>
      </c>
      <c r="H1030" s="7"/>
      <c r="I1030" s="7"/>
      <c r="J1030" s="8"/>
      <c r="K1030" s="8"/>
    </row>
    <row r="1031" ht="17" customHeight="1">
      <c r="A1031" t="s" s="3">
        <v>461</v>
      </c>
      <c r="B1031" s="5">
        <v>41680</v>
      </c>
      <c r="C1031" t="s" s="3">
        <v>216</v>
      </c>
      <c r="D1031" t="s" s="3">
        <v>441</v>
      </c>
      <c r="E1031" s="6">
        <v>-226797</v>
      </c>
      <c r="F1031" s="6">
        <f>E1031*0.19</f>
        <v>-43091.43</v>
      </c>
      <c r="G1031" s="6">
        <f>E1031+F1031</f>
        <v>-269888.43</v>
      </c>
      <c r="H1031" s="7">
        <f>IF(J1031=TRUE(),E1031,0)</f>
        <v>0</v>
      </c>
      <c r="I1031" s="7">
        <f>IF(K1031=TRUE(),E1031,0)</f>
        <v>0</v>
      </c>
      <c r="J1031" t="b" s="4">
        <v>0</v>
      </c>
      <c r="K1031" t="b" s="4">
        <v>0</v>
      </c>
    </row>
    <row r="1032" ht="17" customHeight="1">
      <c r="A1032" t="s" s="3">
        <v>462</v>
      </c>
      <c r="B1032" s="5">
        <v>41680</v>
      </c>
      <c r="C1032" t="s" s="3">
        <v>216</v>
      </c>
      <c r="D1032" t="s" s="3">
        <v>442</v>
      </c>
      <c r="E1032" s="6">
        <v>-55770</v>
      </c>
      <c r="F1032" s="6">
        <f>E1032*0.19</f>
        <v>-10596.3</v>
      </c>
      <c r="G1032" s="6">
        <f>E1032+F1032</f>
        <v>-66366.3</v>
      </c>
      <c r="H1032" s="7">
        <f>IF(J1032=TRUE(),E1032,0)</f>
        <v>0</v>
      </c>
      <c r="I1032" s="7">
        <f>IF(K1032=TRUE(),E1032,0)</f>
        <v>0</v>
      </c>
      <c r="J1032" t="b" s="4">
        <v>0</v>
      </c>
      <c r="K1032" t="b" s="4">
        <v>0</v>
      </c>
    </row>
    <row r="1033" ht="17" customHeight="1">
      <c r="A1033" t="s" s="3">
        <v>463</v>
      </c>
      <c r="B1033" s="5">
        <v>41680</v>
      </c>
      <c r="C1033" t="s" s="3">
        <v>90</v>
      </c>
      <c r="D1033" t="s" s="3">
        <v>443</v>
      </c>
      <c r="E1033" s="6">
        <v>-26491</v>
      </c>
      <c r="F1033" s="6">
        <f>E1033*0.19</f>
        <v>-5033.29</v>
      </c>
      <c r="G1033" s="6">
        <f>E1033+F1033</f>
        <v>-31524.29</v>
      </c>
      <c r="H1033" s="7">
        <f>IF(J1033=TRUE(),E1033,0)</f>
        <v>0</v>
      </c>
      <c r="I1033" s="7">
        <f>IF(K1033=TRUE(),E1033,0)</f>
        <v>0</v>
      </c>
      <c r="J1033" t="b" s="4">
        <v>0</v>
      </c>
      <c r="K1033" t="b" s="4">
        <v>0</v>
      </c>
    </row>
    <row r="1034" ht="17" customHeight="1">
      <c r="A1034" t="s" s="3">
        <v>464</v>
      </c>
      <c r="B1034" s="5">
        <v>41689</v>
      </c>
      <c r="C1034" t="s" s="3">
        <v>66</v>
      </c>
      <c r="D1034" t="s" s="3">
        <v>465</v>
      </c>
      <c r="E1034" s="6">
        <v>-149086</v>
      </c>
      <c r="F1034" s="6">
        <f>E1034*0.19</f>
        <v>-28326.34</v>
      </c>
      <c r="G1034" s="6">
        <f>E1034+F1034</f>
        <v>-177412.34</v>
      </c>
      <c r="H1034" s="7">
        <f>IF(J1034=TRUE(),E1034,0)</f>
        <v>-149086</v>
      </c>
      <c r="I1034" s="7">
        <f>IF(K1034=TRUE(),E1034,0)</f>
        <v>0</v>
      </c>
      <c r="J1034" t="b" s="4">
        <v>1</v>
      </c>
      <c r="K1034" t="b" s="4">
        <v>0</v>
      </c>
    </row>
    <row r="1035" ht="17" customHeight="1">
      <c r="A1035" s="4">
        <v>889</v>
      </c>
      <c r="B1035" s="5">
        <v>41671</v>
      </c>
      <c r="C1035" t="s" s="3">
        <v>216</v>
      </c>
      <c r="D1035" t="s" s="3">
        <v>23</v>
      </c>
      <c r="E1035" s="6">
        <v>226797</v>
      </c>
      <c r="F1035" s="6">
        <f>E1035*0.19</f>
        <v>43091.43</v>
      </c>
      <c r="G1035" s="6">
        <f>E1035+F1035</f>
        <v>269888.43</v>
      </c>
      <c r="H1035" s="7">
        <f>IF(J1035=TRUE(),E1035,0)</f>
        <v>226797</v>
      </c>
      <c r="I1035" s="7">
        <f>IF(K1035=TRUE(),E1035,0)</f>
        <v>0</v>
      </c>
      <c r="J1035" t="b" s="4">
        <v>1</v>
      </c>
      <c r="K1035" t="b" s="4">
        <v>0</v>
      </c>
    </row>
    <row r="1036" ht="17" customHeight="1">
      <c r="A1036" s="4">
        <v>890</v>
      </c>
      <c r="B1036" s="5">
        <v>41671</v>
      </c>
      <c r="C1036" t="s" s="3">
        <v>216</v>
      </c>
      <c r="D1036" t="s" s="3">
        <v>23</v>
      </c>
      <c r="E1036" s="6">
        <v>55770</v>
      </c>
      <c r="F1036" s="6">
        <f>E1036*0.19</f>
        <v>10596.3</v>
      </c>
      <c r="G1036" s="6">
        <f>E1036+F1036</f>
        <v>66366.3</v>
      </c>
      <c r="H1036" s="7">
        <f>IF(J1036=TRUE(),E1036,0)</f>
        <v>55770</v>
      </c>
      <c r="I1036" s="7">
        <f>IF(K1036=TRUE(),E1036,0)</f>
        <v>0</v>
      </c>
      <c r="J1036" t="b" s="4">
        <v>1</v>
      </c>
      <c r="K1036" t="b" s="4">
        <v>0</v>
      </c>
    </row>
    <row r="1037" ht="17" customHeight="1">
      <c r="A1037" s="4">
        <v>891</v>
      </c>
      <c r="B1037" s="5">
        <v>41671</v>
      </c>
      <c r="C1037" t="s" s="3">
        <v>90</v>
      </c>
      <c r="D1037" t="s" s="3">
        <v>23</v>
      </c>
      <c r="E1037" s="6">
        <v>26491</v>
      </c>
      <c r="F1037" s="6">
        <f>E1037*0.19</f>
        <v>5033.29</v>
      </c>
      <c r="G1037" s="6">
        <f>E1037+F1037</f>
        <v>31524.29</v>
      </c>
      <c r="H1037" s="7">
        <f>IF(J1037=TRUE(),E1037,0)</f>
        <v>26491</v>
      </c>
      <c r="I1037" s="7">
        <f>IF(K1037=TRUE(),E1037,0)</f>
        <v>0</v>
      </c>
      <c r="J1037" t="b" s="4">
        <v>1</v>
      </c>
      <c r="K1037" t="b" s="4">
        <v>0</v>
      </c>
    </row>
    <row r="1038" ht="17" customHeight="1">
      <c r="A1038" s="4">
        <v>892</v>
      </c>
      <c r="B1038" s="5">
        <v>41671</v>
      </c>
      <c r="C1038" t="s" s="3">
        <v>216</v>
      </c>
      <c r="D1038" t="s" s="3">
        <v>52</v>
      </c>
      <c r="E1038" s="6">
        <v>228778</v>
      </c>
      <c r="F1038" s="6">
        <f>E1038*0.19</f>
        <v>43467.82</v>
      </c>
      <c r="G1038" s="6">
        <f>E1038+F1038</f>
        <v>272245.82</v>
      </c>
      <c r="H1038" s="7">
        <f>IF(J1038=TRUE(),E1038,0)</f>
        <v>228778</v>
      </c>
      <c r="I1038" s="7">
        <f>IF(K1038=TRUE(),E1038,0)</f>
        <v>0</v>
      </c>
      <c r="J1038" t="b" s="4">
        <v>1</v>
      </c>
      <c r="K1038" t="b" s="4">
        <v>0</v>
      </c>
    </row>
    <row r="1039" ht="17" customHeight="1">
      <c r="A1039" s="4">
        <v>893</v>
      </c>
      <c r="B1039" s="5">
        <v>41671</v>
      </c>
      <c r="C1039" t="s" s="3">
        <v>216</v>
      </c>
      <c r="D1039" t="s" s="3">
        <v>52</v>
      </c>
      <c r="E1039" s="6">
        <v>56257</v>
      </c>
      <c r="F1039" s="6">
        <f>E1039*0.19</f>
        <v>10688.83</v>
      </c>
      <c r="G1039" s="6">
        <f>E1039+F1039</f>
        <v>66945.83</v>
      </c>
      <c r="H1039" s="7">
        <f>IF(J1039=TRUE(),E1039,0)</f>
        <v>56257</v>
      </c>
      <c r="I1039" s="7">
        <f>IF(K1039=TRUE(),E1039,0)</f>
        <v>0</v>
      </c>
      <c r="J1039" t="b" s="4">
        <v>1</v>
      </c>
      <c r="K1039" t="b" s="4">
        <v>0</v>
      </c>
    </row>
    <row r="1040" ht="17" customHeight="1">
      <c r="A1040" s="4">
        <v>894</v>
      </c>
      <c r="B1040" s="5">
        <v>41671</v>
      </c>
      <c r="C1040" t="s" s="3">
        <v>90</v>
      </c>
      <c r="D1040" t="s" s="3">
        <v>52</v>
      </c>
      <c r="E1040" s="6">
        <v>26722</v>
      </c>
      <c r="F1040" s="6">
        <f>E1040*0.19</f>
        <v>5077.18</v>
      </c>
      <c r="G1040" s="6">
        <f>E1040+F1040</f>
        <v>31799.18</v>
      </c>
      <c r="H1040" s="7">
        <f>IF(J1040=TRUE(),E1040,0)</f>
        <v>26722</v>
      </c>
      <c r="I1040" s="7">
        <f>IF(K1040=TRUE(),E1040,0)</f>
        <v>0</v>
      </c>
      <c r="J1040" t="b" s="4">
        <v>1</v>
      </c>
      <c r="K1040" t="b" s="4">
        <v>0</v>
      </c>
    </row>
    <row r="1041" ht="17" customHeight="1">
      <c r="A1041" s="4">
        <v>895</v>
      </c>
      <c r="B1041" s="5">
        <v>41671</v>
      </c>
      <c r="C1041" t="s" s="3">
        <v>466</v>
      </c>
      <c r="D1041" t="s" s="3">
        <v>467</v>
      </c>
      <c r="E1041" s="6">
        <v>395000</v>
      </c>
      <c r="F1041" s="6">
        <f>E1041*0.19</f>
        <v>75050</v>
      </c>
      <c r="G1041" s="6">
        <f>E1041+F1041</f>
        <v>470050</v>
      </c>
      <c r="H1041" s="7">
        <f>IF(J1041=TRUE(),E1041,0)</f>
        <v>0</v>
      </c>
      <c r="I1041" s="7">
        <f>IF(K1041=TRUE(),E1041,0)</f>
        <v>0</v>
      </c>
      <c r="J1041" t="b" s="4">
        <v>0</v>
      </c>
      <c r="K1041" t="b" s="4">
        <v>0</v>
      </c>
    </row>
    <row r="1042" ht="17" customHeight="1">
      <c r="A1042" s="4">
        <v>896</v>
      </c>
      <c r="B1042" s="5">
        <v>41671</v>
      </c>
      <c r="C1042" t="s" s="3">
        <v>90</v>
      </c>
      <c r="D1042" t="s" s="3">
        <v>468</v>
      </c>
      <c r="E1042" s="6">
        <v>496000</v>
      </c>
      <c r="F1042" s="6">
        <f>E1042*0.19</f>
        <v>94240</v>
      </c>
      <c r="G1042" s="6">
        <f>E1042+F1042</f>
        <v>590240</v>
      </c>
      <c r="H1042" s="7">
        <f>IF(J1042=TRUE(),E1042,0)</f>
        <v>0</v>
      </c>
      <c r="I1042" s="7">
        <f>IF(K1042=TRUE(),E1042,0)</f>
        <v>0</v>
      </c>
      <c r="J1042" t="b" s="4">
        <v>0</v>
      </c>
      <c r="K1042" t="b" s="4">
        <v>0</v>
      </c>
    </row>
    <row r="1043" ht="17" customHeight="1">
      <c r="A1043" s="4">
        <v>897</v>
      </c>
      <c r="B1043" s="5">
        <v>41671</v>
      </c>
      <c r="C1043" t="s" s="3">
        <v>357</v>
      </c>
      <c r="D1043" t="s" s="3">
        <v>52</v>
      </c>
      <c r="E1043" s="6">
        <v>330510</v>
      </c>
      <c r="F1043" s="6">
        <f>E1043*0.19</f>
        <v>62796.9</v>
      </c>
      <c r="G1043" s="6">
        <f>E1043+F1043</f>
        <v>393306.9</v>
      </c>
      <c r="H1043" s="7">
        <f>IF(J1043=TRUE(),E1043,0)</f>
        <v>330510</v>
      </c>
      <c r="I1043" s="7">
        <f>IF(K1043=TRUE(),E1043,0)</f>
        <v>0</v>
      </c>
      <c r="J1043" t="b" s="4">
        <v>1</v>
      </c>
      <c r="K1043" t="b" s="4">
        <v>0</v>
      </c>
    </row>
    <row r="1044" ht="17" customHeight="1">
      <c r="A1044" s="4">
        <v>898</v>
      </c>
      <c r="B1044" s="5">
        <v>41671</v>
      </c>
      <c r="C1044" t="s" s="3">
        <v>66</v>
      </c>
      <c r="D1044" t="s" s="3">
        <v>469</v>
      </c>
      <c r="E1044" s="6">
        <v>149086</v>
      </c>
      <c r="F1044" s="6">
        <f>E1044*0.19</f>
        <v>28326.34</v>
      </c>
      <c r="G1044" s="6">
        <f>E1044+F1044</f>
        <v>177412.34</v>
      </c>
      <c r="H1044" s="7">
        <f>IF(J1044=TRUE(),E1044,0)</f>
        <v>0</v>
      </c>
      <c r="I1044" s="7">
        <f>IF(K1044=TRUE(),E1044,0)</f>
        <v>0</v>
      </c>
      <c r="J1044" t="b" s="4">
        <v>0</v>
      </c>
      <c r="K1044" t="b" s="4">
        <v>0</v>
      </c>
    </row>
    <row r="1045" ht="17" customHeight="1">
      <c r="A1045" s="4">
        <v>899</v>
      </c>
      <c r="B1045" s="5">
        <v>41671</v>
      </c>
      <c r="C1045" t="s" s="3">
        <v>40</v>
      </c>
      <c r="D1045" t="s" s="3">
        <v>52</v>
      </c>
      <c r="E1045" s="6">
        <v>158000</v>
      </c>
      <c r="F1045" s="6">
        <f>E1045*0.19</f>
        <v>30020</v>
      </c>
      <c r="G1045" s="6">
        <f>E1045+F1045</f>
        <v>188020</v>
      </c>
      <c r="H1045" s="7">
        <f>IF(J1045=TRUE(),E1045,0)</f>
        <v>158000</v>
      </c>
      <c r="I1045" s="7">
        <f>IF(K1045=TRUE(),E1045,0)</f>
        <v>0</v>
      </c>
      <c r="J1045" t="b" s="4">
        <v>1</v>
      </c>
      <c r="K1045" t="b" s="4">
        <v>0</v>
      </c>
    </row>
    <row r="1046" ht="17" customHeight="1">
      <c r="A1046" s="4">
        <v>900</v>
      </c>
      <c r="B1046" s="5">
        <v>41671</v>
      </c>
      <c r="C1046" t="s" s="3">
        <v>22</v>
      </c>
      <c r="D1046" t="s" s="3">
        <v>52</v>
      </c>
      <c r="E1046" s="6">
        <v>163145</v>
      </c>
      <c r="F1046" s="6">
        <f>E1046*0.19</f>
        <v>30997.55</v>
      </c>
      <c r="G1046" s="6">
        <f>E1046+F1046</f>
        <v>194142.55</v>
      </c>
      <c r="H1046" s="7">
        <f>IF(J1046=TRUE(),E1046,0)</f>
        <v>163145</v>
      </c>
      <c r="I1046" s="7">
        <f>IF(K1046=TRUE(),E1046,0)</f>
        <v>0</v>
      </c>
      <c r="J1046" t="b" s="4">
        <v>1</v>
      </c>
      <c r="K1046" t="b" s="4">
        <v>0</v>
      </c>
    </row>
    <row r="1047" ht="17" customHeight="1">
      <c r="A1047" s="4">
        <v>901</v>
      </c>
      <c r="B1047" s="5">
        <v>41671</v>
      </c>
      <c r="C1047" t="s" s="3">
        <v>66</v>
      </c>
      <c r="D1047" t="s" s="3">
        <v>52</v>
      </c>
      <c r="E1047" s="6">
        <v>142986</v>
      </c>
      <c r="F1047" s="6">
        <f>E1047*0.19</f>
        <v>27167.34</v>
      </c>
      <c r="G1047" s="6">
        <f>E1047+F1047</f>
        <v>170153.34</v>
      </c>
      <c r="H1047" s="7">
        <f>IF(J1047=TRUE(),E1047,0)</f>
        <v>142986</v>
      </c>
      <c r="I1047" s="7">
        <f>IF(K1047=TRUE(),E1047,0)</f>
        <v>0</v>
      </c>
      <c r="J1047" t="b" s="4">
        <v>1</v>
      </c>
      <c r="K1047" t="b" s="4">
        <v>0</v>
      </c>
    </row>
    <row r="1048" ht="17" customHeight="1">
      <c r="A1048" s="4">
        <v>902</v>
      </c>
      <c r="B1048" s="5">
        <v>41671</v>
      </c>
      <c r="C1048" t="s" s="3">
        <v>60</v>
      </c>
      <c r="D1048" t="s" s="3">
        <v>52</v>
      </c>
      <c r="E1048" s="6">
        <v>71259</v>
      </c>
      <c r="F1048" s="6">
        <f>E1048*0.19</f>
        <v>13539.21</v>
      </c>
      <c r="G1048" s="6">
        <f>E1048+F1048</f>
        <v>84798.210000000006</v>
      </c>
      <c r="H1048" s="7">
        <f>IF(J1048=TRUE(),E1048,0)</f>
        <v>71259</v>
      </c>
      <c r="I1048" s="7">
        <f>IF(K1048=TRUE(),E1048,0)</f>
        <v>0</v>
      </c>
      <c r="J1048" t="b" s="4">
        <v>1</v>
      </c>
      <c r="K1048" t="b" s="4">
        <v>0</v>
      </c>
    </row>
    <row r="1049" ht="17" customHeight="1">
      <c r="A1049" s="4">
        <v>903</v>
      </c>
      <c r="B1049" s="5">
        <v>41671</v>
      </c>
      <c r="C1049" t="s" s="3">
        <v>34</v>
      </c>
      <c r="D1049" t="s" s="3">
        <v>52</v>
      </c>
      <c r="E1049" s="6">
        <v>54851</v>
      </c>
      <c r="F1049" s="6">
        <f>E1049*0.19</f>
        <v>10421.69</v>
      </c>
      <c r="G1049" s="6">
        <f>E1049+F1049</f>
        <v>65272.69</v>
      </c>
      <c r="H1049" s="7">
        <f>IF(J1049=TRUE(),E1049,0)</f>
        <v>54851</v>
      </c>
      <c r="I1049" s="7">
        <f>IF(K1049=TRUE(),E1049,0)</f>
        <v>0</v>
      </c>
      <c r="J1049" t="b" s="4">
        <v>1</v>
      </c>
      <c r="K1049" t="b" s="4">
        <v>0</v>
      </c>
    </row>
    <row r="1050" ht="17" customHeight="1">
      <c r="A1050" s="4">
        <v>904</v>
      </c>
      <c r="B1050" s="5">
        <v>41671</v>
      </c>
      <c r="C1050" t="s" s="3">
        <v>42</v>
      </c>
      <c r="D1050" t="s" s="3">
        <v>52</v>
      </c>
      <c r="E1050" s="6">
        <v>313867</v>
      </c>
      <c r="F1050" s="6">
        <f>E1050*0.19</f>
        <v>59634.73</v>
      </c>
      <c r="G1050" s="6">
        <f>E1050+F1050</f>
        <v>373501.73</v>
      </c>
      <c r="H1050" s="7">
        <f>IF(J1050=TRUE(),E1050,0)</f>
        <v>313867</v>
      </c>
      <c r="I1050" s="7">
        <f>IF(K1050=TRUE(),E1050,0)</f>
        <v>0</v>
      </c>
      <c r="J1050" t="b" s="4">
        <v>1</v>
      </c>
      <c r="K1050" t="b" s="4">
        <v>0</v>
      </c>
    </row>
    <row r="1051" ht="17" customHeight="1">
      <c r="A1051" s="4">
        <v>905</v>
      </c>
      <c r="B1051" s="5">
        <v>41671</v>
      </c>
      <c r="C1051" t="s" s="3">
        <v>384</v>
      </c>
      <c r="D1051" t="s" s="3">
        <v>52</v>
      </c>
      <c r="E1051" s="6">
        <v>41021</v>
      </c>
      <c r="F1051" s="6">
        <f>E1051*0.19</f>
        <v>7793.99</v>
      </c>
      <c r="G1051" s="6">
        <f>E1051+F1051</f>
        <v>48814.99</v>
      </c>
      <c r="H1051" s="7">
        <f>IF(J1051=TRUE(),E1051,0)</f>
        <v>41021</v>
      </c>
      <c r="I1051" s="7">
        <f>IF(K1051=TRUE(),E1051,0)</f>
        <v>0</v>
      </c>
      <c r="J1051" t="b" s="4">
        <v>1</v>
      </c>
      <c r="K1051" t="b" s="4">
        <v>0</v>
      </c>
    </row>
    <row r="1052" ht="17" customHeight="1">
      <c r="A1052" s="4">
        <v>906</v>
      </c>
      <c r="B1052" s="5">
        <v>41671</v>
      </c>
      <c r="C1052" t="s" s="3">
        <v>230</v>
      </c>
      <c r="D1052" t="s" s="3">
        <v>52</v>
      </c>
      <c r="E1052" s="6">
        <v>234404</v>
      </c>
      <c r="F1052" s="6">
        <f>E1052*0.19</f>
        <v>44536.76</v>
      </c>
      <c r="G1052" s="6">
        <f>E1052+F1052</f>
        <v>278940.76</v>
      </c>
      <c r="H1052" s="7">
        <f>IF(J1052=TRUE(),E1052,0)</f>
        <v>234404</v>
      </c>
      <c r="I1052" s="7">
        <f>IF(K1052=TRUE(),E1052,0)</f>
        <v>0</v>
      </c>
      <c r="J1052" t="b" s="4">
        <v>1</v>
      </c>
      <c r="K1052" t="b" s="4">
        <v>0</v>
      </c>
    </row>
    <row r="1053" ht="17" customHeight="1">
      <c r="A1053" s="4">
        <v>907</v>
      </c>
      <c r="B1053" s="5">
        <v>41671</v>
      </c>
      <c r="C1053" t="s" s="3">
        <v>183</v>
      </c>
      <c r="D1053" t="s" s="3">
        <v>52</v>
      </c>
      <c r="E1053" s="6">
        <v>68915</v>
      </c>
      <c r="F1053" s="6">
        <f>E1053*0.19</f>
        <v>13093.85</v>
      </c>
      <c r="G1053" s="6">
        <f>E1053+F1053</f>
        <v>82008.850000000006</v>
      </c>
      <c r="H1053" s="7">
        <f>IF(J1053=TRUE(),E1053,0)</f>
        <v>68915</v>
      </c>
      <c r="I1053" s="7">
        <f>IF(K1053=TRUE(),E1053,0)</f>
        <v>0</v>
      </c>
      <c r="J1053" t="b" s="4">
        <v>1</v>
      </c>
      <c r="K1053" t="b" s="4">
        <v>0</v>
      </c>
    </row>
    <row r="1054" ht="17" customHeight="1">
      <c r="A1054" s="4">
        <v>908</v>
      </c>
      <c r="B1054" s="5">
        <v>41671</v>
      </c>
      <c r="C1054" t="s" s="3">
        <v>120</v>
      </c>
      <c r="D1054" t="s" s="3">
        <v>52</v>
      </c>
      <c r="E1054" s="6">
        <v>437632</v>
      </c>
      <c r="F1054" s="6">
        <f>E1054*0.19</f>
        <v>83150.08</v>
      </c>
      <c r="G1054" s="6">
        <f>E1054+F1054</f>
        <v>520782.08</v>
      </c>
      <c r="H1054" s="7">
        <f>IF(J1054=TRUE(),E1054,0)</f>
        <v>437632</v>
      </c>
      <c r="I1054" s="7">
        <f>IF(K1054=TRUE(),E1054,0)</f>
        <v>0</v>
      </c>
      <c r="J1054" t="b" s="4">
        <v>1</v>
      </c>
      <c r="K1054" t="b" s="4">
        <v>0</v>
      </c>
    </row>
    <row r="1055" ht="17" customHeight="1">
      <c r="A1055" s="4">
        <v>909</v>
      </c>
      <c r="B1055" s="5">
        <v>41671</v>
      </c>
      <c r="C1055" t="s" s="3">
        <v>33</v>
      </c>
      <c r="D1055" t="s" s="3">
        <v>52</v>
      </c>
      <c r="E1055" s="6">
        <v>972308</v>
      </c>
      <c r="F1055" s="6">
        <f>E1055*0.19</f>
        <v>184738.52</v>
      </c>
      <c r="G1055" s="6">
        <f>E1055+F1055</f>
        <v>1157046.52</v>
      </c>
      <c r="H1055" s="7">
        <f>IF(J1055=TRUE(),E1055,0)</f>
        <v>972308</v>
      </c>
      <c r="I1055" s="7">
        <f>IF(K1055=TRUE(),E1055,0)</f>
        <v>0</v>
      </c>
      <c r="J1055" t="b" s="4">
        <v>1</v>
      </c>
      <c r="K1055" t="b" s="4">
        <v>0</v>
      </c>
    </row>
    <row r="1056" ht="17.5" customHeight="1">
      <c r="A1056" s="9">
        <v>910</v>
      </c>
      <c r="B1056" s="5">
        <v>41671</v>
      </c>
      <c r="C1056" t="s" s="10">
        <v>127</v>
      </c>
      <c r="D1056" t="s" s="10">
        <v>52</v>
      </c>
      <c r="E1056" s="11">
        <v>544989</v>
      </c>
      <c r="F1056" s="11">
        <f>E1056*0.19</f>
        <v>103547.91</v>
      </c>
      <c r="G1056" s="11">
        <f>E1056+F1056</f>
        <v>648536.91</v>
      </c>
      <c r="H1056" s="12">
        <f>IF(J1056=TRUE(),E1056,0)</f>
        <v>544989</v>
      </c>
      <c r="I1056" s="12">
        <f>IF(K1056=TRUE(),E1056,0)</f>
        <v>0</v>
      </c>
      <c r="J1056" t="b" s="9">
        <v>1</v>
      </c>
      <c r="K1056" t="b" s="9">
        <v>0</v>
      </c>
    </row>
    <row r="1057" ht="18" customHeight="1">
      <c r="A1057" s="13">
        <f>COUNT(A1031:A1056)</f>
        <v>22</v>
      </c>
      <c r="B1057" t="s" s="3">
        <v>470</v>
      </c>
      <c r="C1057" t="s" s="14">
        <v>7</v>
      </c>
      <c r="D1057" s="14"/>
      <c r="E1057" s="15">
        <f>SUM(E1031:E1056)</f>
        <v>4736644</v>
      </c>
      <c r="F1057" s="15">
        <f>SUM(F1031:F1056)</f>
        <v>899962.3600000001</v>
      </c>
      <c r="G1057" s="16">
        <f>SUM(G1031:G1056)</f>
        <v>5636606.36</v>
      </c>
      <c r="H1057" s="17">
        <f>SUM(H1031:H1056)</f>
        <v>4005616</v>
      </c>
      <c r="I1057" s="17"/>
      <c r="J1057" s="18">
        <f>COUNTIF(J1031:J1056,TRUE())</f>
        <v>20</v>
      </c>
      <c r="K1057" s="19"/>
    </row>
    <row r="1058" ht="17.5" customHeight="1">
      <c r="A1058" s="20"/>
      <c r="B1058" s="5"/>
      <c r="C1058" s="20"/>
      <c r="D1058" s="21"/>
      <c r="E1058" s="20"/>
      <c r="F1058" s="20"/>
      <c r="G1058" s="20"/>
      <c r="H1058" s="22"/>
      <c r="I1058" s="22"/>
      <c r="J1058" s="20"/>
      <c r="K1058" s="20"/>
    </row>
    <row r="1059" ht="17" customHeight="1">
      <c r="A1059" t="s" s="3">
        <v>1</v>
      </c>
      <c r="B1059" t="s" s="3">
        <v>2</v>
      </c>
      <c r="C1059" t="s" s="3">
        <v>3</v>
      </c>
      <c r="D1059" t="s" s="3">
        <v>4</v>
      </c>
      <c r="E1059" t="s" s="3">
        <v>5</v>
      </c>
      <c r="F1059" t="s" s="3">
        <v>6</v>
      </c>
      <c r="G1059" t="s" s="3">
        <v>7</v>
      </c>
      <c r="H1059" s="7"/>
      <c r="I1059" s="7"/>
      <c r="J1059" s="8"/>
      <c r="K1059" s="8"/>
    </row>
    <row r="1060" ht="17.5" customHeight="1">
      <c r="A1060" s="8"/>
      <c r="B1060" s="5"/>
      <c r="C1060" s="8"/>
      <c r="D1060" s="3"/>
      <c r="E1060" s="6">
        <v>0</v>
      </c>
      <c r="F1060" s="6">
        <f>E1060*0.19</f>
        <v>0</v>
      </c>
      <c r="G1060" s="6">
        <f>E1060+F1060</f>
        <v>0</v>
      </c>
      <c r="H1060" s="7"/>
      <c r="I1060" s="7">
        <f>IF(K1060=TRUE(),E1060,0)</f>
        <v>0</v>
      </c>
      <c r="J1060" t="b" s="9">
        <v>0</v>
      </c>
      <c r="K1060" t="b" s="9">
        <v>0</v>
      </c>
    </row>
    <row r="1061" ht="18" customHeight="1">
      <c r="A1061" s="4">
        <f>COUNT(A1060)</f>
        <v>0</v>
      </c>
      <c r="B1061" t="s" s="3">
        <v>471</v>
      </c>
      <c r="C1061" t="s" s="3">
        <v>7</v>
      </c>
      <c r="D1061" s="3"/>
      <c r="E1061" s="6">
        <f>SUM(E1060)</f>
        <v>0</v>
      </c>
      <c r="F1061" s="6">
        <f>SUM(F1060)</f>
        <v>0</v>
      </c>
      <c r="G1061" s="6">
        <f>SUM(G1060)</f>
        <v>0</v>
      </c>
      <c r="H1061" s="7">
        <f>SUM(H1060)</f>
        <v>0</v>
      </c>
      <c r="I1061" s="7"/>
      <c r="J1061" s="23">
        <f>COUNTIF(J1060,TRUE())</f>
        <v>0</v>
      </c>
      <c r="K1061" s="19"/>
    </row>
    <row r="1062" ht="17.5" customHeight="1">
      <c r="A1062" s="8"/>
      <c r="B1062" s="5"/>
      <c r="C1062" s="8"/>
      <c r="D1062" s="3"/>
      <c r="E1062" s="8"/>
      <c r="F1062" s="8"/>
      <c r="G1062" s="8"/>
      <c r="H1062" s="7"/>
      <c r="I1062" s="7"/>
      <c r="J1062" s="20"/>
      <c r="K1062" s="20"/>
    </row>
    <row r="1063" ht="17" customHeight="1">
      <c r="A1063" t="s" s="3">
        <v>1</v>
      </c>
      <c r="B1063" t="s" s="3">
        <v>2</v>
      </c>
      <c r="C1063" t="s" s="3">
        <v>3</v>
      </c>
      <c r="D1063" t="s" s="3">
        <v>4</v>
      </c>
      <c r="E1063" t="s" s="3">
        <v>5</v>
      </c>
      <c r="F1063" t="s" s="3">
        <v>6</v>
      </c>
      <c r="G1063" t="s" s="3">
        <v>7</v>
      </c>
      <c r="H1063" s="7"/>
      <c r="I1063" s="7"/>
      <c r="J1063" s="8"/>
      <c r="K1063" s="8"/>
    </row>
    <row r="1064" ht="17.5" customHeight="1">
      <c r="A1064" s="8"/>
      <c r="B1064" s="5"/>
      <c r="C1064" s="8"/>
      <c r="D1064" s="3"/>
      <c r="E1064" s="6">
        <v>0</v>
      </c>
      <c r="F1064" s="6">
        <f>E1064*0.19</f>
        <v>0</v>
      </c>
      <c r="G1064" s="6">
        <f>E1064+F1064</f>
        <v>0</v>
      </c>
      <c r="H1064" s="7"/>
      <c r="I1064" s="7">
        <f>IF(K1064=TRUE(),E1064,0)</f>
        <v>0</v>
      </c>
      <c r="J1064" t="b" s="9">
        <v>0</v>
      </c>
      <c r="K1064" t="b" s="9">
        <v>0</v>
      </c>
    </row>
    <row r="1065" ht="18" customHeight="1">
      <c r="A1065" s="4">
        <f>COUNT(A1064)</f>
        <v>0</v>
      </c>
      <c r="B1065" t="s" s="3">
        <v>472</v>
      </c>
      <c r="C1065" t="s" s="3">
        <v>7</v>
      </c>
      <c r="D1065" s="3"/>
      <c r="E1065" s="6">
        <f>SUM(E1064)</f>
        <v>0</v>
      </c>
      <c r="F1065" s="6">
        <f>SUM(F1064)</f>
        <v>0</v>
      </c>
      <c r="G1065" s="6">
        <f>SUM(G1064)</f>
        <v>0</v>
      </c>
      <c r="H1065" s="7">
        <f>SUM(H1064)</f>
        <v>0</v>
      </c>
      <c r="I1065" s="7"/>
      <c r="J1065" s="23">
        <f>COUNTIF(J1064,TRUE())</f>
        <v>0</v>
      </c>
      <c r="K1065" s="19"/>
    </row>
    <row r="1066" ht="17.5" customHeight="1">
      <c r="A1066" s="8"/>
      <c r="B1066" s="5"/>
      <c r="C1066" s="8"/>
      <c r="D1066" s="3"/>
      <c r="E1066" s="8"/>
      <c r="F1066" s="8"/>
      <c r="G1066" s="8"/>
      <c r="H1066" s="7"/>
      <c r="I1066" s="7"/>
      <c r="J1066" s="20"/>
      <c r="K1066" s="20"/>
    </row>
    <row r="1067" ht="17" customHeight="1">
      <c r="A1067" t="s" s="3">
        <v>1</v>
      </c>
      <c r="B1067" t="s" s="3">
        <v>2</v>
      </c>
      <c r="C1067" t="s" s="3">
        <v>3</v>
      </c>
      <c r="D1067" t="s" s="3">
        <v>4</v>
      </c>
      <c r="E1067" t="s" s="3">
        <v>5</v>
      </c>
      <c r="F1067" t="s" s="3">
        <v>6</v>
      </c>
      <c r="G1067" t="s" s="3">
        <v>7</v>
      </c>
      <c r="H1067" s="7"/>
      <c r="I1067" s="7"/>
      <c r="J1067" s="8"/>
      <c r="K1067" s="8"/>
    </row>
    <row r="1068" ht="17.5" customHeight="1">
      <c r="A1068" s="8"/>
      <c r="B1068" s="5"/>
      <c r="C1068" s="8"/>
      <c r="D1068" s="3"/>
      <c r="E1068" s="6">
        <v>0</v>
      </c>
      <c r="F1068" s="6">
        <f>E1068*0.19</f>
        <v>0</v>
      </c>
      <c r="G1068" s="6">
        <f>E1068+F1068</f>
        <v>0</v>
      </c>
      <c r="H1068" s="7"/>
      <c r="I1068" s="7">
        <f>IF(K1068=TRUE(),E1068,0)</f>
        <v>0</v>
      </c>
      <c r="J1068" t="b" s="9">
        <v>0</v>
      </c>
      <c r="K1068" t="b" s="9">
        <v>0</v>
      </c>
    </row>
    <row r="1069" ht="18" customHeight="1">
      <c r="A1069" s="4">
        <f>COUNT(A1068)</f>
        <v>0</v>
      </c>
      <c r="B1069" t="s" s="3">
        <v>473</v>
      </c>
      <c r="C1069" t="s" s="3">
        <v>7</v>
      </c>
      <c r="D1069" s="3"/>
      <c r="E1069" s="6">
        <f>SUM(E1068)</f>
        <v>0</v>
      </c>
      <c r="F1069" s="6">
        <f>SUM(F1068)</f>
        <v>0</v>
      </c>
      <c r="G1069" s="6">
        <f>SUM(G1068)</f>
        <v>0</v>
      </c>
      <c r="H1069" s="7">
        <f>SUM(H1068)</f>
        <v>0</v>
      </c>
      <c r="I1069" s="7"/>
      <c r="J1069" s="23">
        <f>COUNTIF(J1068,TRUE())</f>
        <v>0</v>
      </c>
      <c r="K1069" s="19"/>
    </row>
    <row r="1070" ht="17.5" customHeight="1">
      <c r="A1070" s="8"/>
      <c r="B1070" s="5"/>
      <c r="C1070" s="8"/>
      <c r="D1070" s="3"/>
      <c r="E1070" s="8"/>
      <c r="F1070" s="8"/>
      <c r="G1070" s="8"/>
      <c r="H1070" s="7"/>
      <c r="I1070" s="7"/>
      <c r="J1070" s="20"/>
      <c r="K1070" s="20"/>
    </row>
    <row r="1071" ht="17" customHeight="1">
      <c r="A1071" t="s" s="3">
        <v>1</v>
      </c>
      <c r="B1071" t="s" s="3">
        <v>2</v>
      </c>
      <c r="C1071" t="s" s="3">
        <v>3</v>
      </c>
      <c r="D1071" t="s" s="3">
        <v>4</v>
      </c>
      <c r="E1071" t="s" s="3">
        <v>5</v>
      </c>
      <c r="F1071" t="s" s="3">
        <v>6</v>
      </c>
      <c r="G1071" t="s" s="3">
        <v>7</v>
      </c>
      <c r="H1071" s="7"/>
      <c r="I1071" s="7"/>
      <c r="J1071" s="8"/>
      <c r="K1071" s="8"/>
    </row>
    <row r="1072" ht="17" customHeight="1">
      <c r="A1072" t="s" s="3">
        <v>474</v>
      </c>
      <c r="B1072" s="5">
        <v>41791</v>
      </c>
      <c r="C1072" t="s" s="3">
        <v>357</v>
      </c>
      <c r="D1072" s="3"/>
      <c r="E1072" s="6">
        <v>1337201</v>
      </c>
      <c r="F1072" s="6">
        <f>E1072*0.19</f>
        <v>254068.19</v>
      </c>
      <c r="G1072" s="6">
        <f>E1072+F1072</f>
        <v>1591269.19</v>
      </c>
      <c r="H1072" s="7">
        <f>IF(J1072=TRUE(),E1072,0)</f>
        <v>1337201</v>
      </c>
      <c r="I1072" s="7">
        <f>IF(K1072=TRUE(),E1072,0)</f>
        <v>0</v>
      </c>
      <c r="J1072" t="b" s="4">
        <v>1</v>
      </c>
      <c r="K1072" t="b" s="4">
        <v>0</v>
      </c>
    </row>
    <row r="1073" ht="17" customHeight="1">
      <c r="A1073" t="s" s="3">
        <v>475</v>
      </c>
      <c r="B1073" s="5">
        <v>41791</v>
      </c>
      <c r="C1073" t="s" s="3">
        <v>22</v>
      </c>
      <c r="D1073" s="3"/>
      <c r="E1073" s="6">
        <f>6.96*23510.14+6.96*23610.77+6.96*23779.73+6.96*23936.31</f>
        <v>660065.1719999999</v>
      </c>
      <c r="F1073" s="6">
        <f>E1073*0.19</f>
        <v>125412.38268</v>
      </c>
      <c r="G1073" s="6">
        <f>E1073+F1073</f>
        <v>785477.5546799998</v>
      </c>
      <c r="H1073" s="7">
        <f>IF(J1073=TRUE(),E1073,0)</f>
        <v>0</v>
      </c>
      <c r="I1073" s="7">
        <f>IF(K1073=TRUE(),E1073,0)</f>
        <v>0</v>
      </c>
      <c r="J1073" t="b" s="4">
        <v>0</v>
      </c>
      <c r="K1073" t="b" s="4">
        <v>0</v>
      </c>
    </row>
    <row r="1074" ht="17" customHeight="1">
      <c r="A1074" t="s" s="3">
        <v>476</v>
      </c>
      <c r="B1074" s="5">
        <v>41791</v>
      </c>
      <c r="C1074" t="s" s="3">
        <v>22</v>
      </c>
      <c r="D1074" t="s" s="3">
        <v>477</v>
      </c>
      <c r="E1074" s="6">
        <v>640000</v>
      </c>
      <c r="F1074" s="6">
        <f>E1074*0.19</f>
        <v>121600</v>
      </c>
      <c r="G1074" s="6">
        <f>E1074+F1074</f>
        <v>761600</v>
      </c>
      <c r="H1074" s="7">
        <f>IF(J1074=TRUE(),E1074,0)</f>
        <v>0</v>
      </c>
      <c r="I1074" s="7">
        <f>IF(K1074=TRUE(),E1074,0)</f>
        <v>0</v>
      </c>
      <c r="J1074" t="b" s="4">
        <v>0</v>
      </c>
      <c r="K1074" t="b" s="4">
        <v>0</v>
      </c>
    </row>
    <row r="1075" ht="17" customHeight="1">
      <c r="A1075" t="s" s="3">
        <v>478</v>
      </c>
      <c r="B1075" s="5">
        <v>41791</v>
      </c>
      <c r="C1075" t="s" s="3">
        <v>66</v>
      </c>
      <c r="D1075" s="3"/>
      <c r="E1075" s="6">
        <v>578505</v>
      </c>
      <c r="F1075" s="6">
        <f>E1075*0.19</f>
        <v>109915.95</v>
      </c>
      <c r="G1075" s="6">
        <f>E1075+F1075</f>
        <v>688420.95</v>
      </c>
      <c r="H1075" s="7">
        <f>IF(J1075=TRUE(),E1075,0)</f>
        <v>0</v>
      </c>
      <c r="I1075" s="7">
        <f>IF(K1075=TRUE(),E1075,0)</f>
        <v>0</v>
      </c>
      <c r="J1075" t="b" s="4">
        <v>0</v>
      </c>
      <c r="K1075" t="b" s="4">
        <v>0</v>
      </c>
    </row>
    <row r="1076" ht="17" customHeight="1">
      <c r="A1076" t="s" s="3">
        <v>479</v>
      </c>
      <c r="B1076" s="5">
        <v>41791</v>
      </c>
      <c r="C1076" t="s" s="3">
        <v>42</v>
      </c>
      <c r="D1076" s="3"/>
      <c r="E1076" s="6">
        <v>1318234</v>
      </c>
      <c r="F1076" s="6">
        <f>E1076*0.19</f>
        <v>250464.46</v>
      </c>
      <c r="G1076" s="6">
        <f>E1076+F1076</f>
        <v>1568698.46</v>
      </c>
      <c r="H1076" s="7">
        <f>IF(J1076=TRUE(),E1076,0)</f>
        <v>1318234</v>
      </c>
      <c r="I1076" s="7">
        <f>IF(K1076=TRUE(),E1076,0)</f>
        <v>0</v>
      </c>
      <c r="J1076" t="b" s="4">
        <v>1</v>
      </c>
      <c r="K1076" t="b" s="4">
        <v>0</v>
      </c>
    </row>
    <row r="1077" ht="17" customHeight="1">
      <c r="A1077" t="s" s="3">
        <v>480</v>
      </c>
      <c r="B1077" s="5">
        <v>41791</v>
      </c>
      <c r="C1077" t="s" s="3">
        <v>60</v>
      </c>
      <c r="D1077" s="3"/>
      <c r="E1077" s="6">
        <v>288304</v>
      </c>
      <c r="F1077" s="6">
        <f>E1077*0.19</f>
        <v>54777.76</v>
      </c>
      <c r="G1077" s="6">
        <f>E1077+F1077</f>
        <v>343081.76</v>
      </c>
      <c r="H1077" s="7">
        <f>IF(J1077=TRUE(),E1077,0)</f>
        <v>288304</v>
      </c>
      <c r="I1077" s="7">
        <f>IF(K1077=TRUE(),E1077,0)</f>
        <v>0</v>
      </c>
      <c r="J1077" t="b" s="4">
        <v>1</v>
      </c>
      <c r="K1077" t="b" s="4">
        <v>0</v>
      </c>
    </row>
    <row r="1078" ht="17" customHeight="1">
      <c r="A1078" t="s" s="3">
        <v>481</v>
      </c>
      <c r="B1078" s="5">
        <v>41791</v>
      </c>
      <c r="C1078" t="s" s="3">
        <v>384</v>
      </c>
      <c r="D1078" s="3"/>
      <c r="E1078" s="6">
        <v>165965</v>
      </c>
      <c r="F1078" s="6">
        <f>E1078*0.19</f>
        <v>31533.35</v>
      </c>
      <c r="G1078" s="6">
        <f>E1078+F1078</f>
        <v>197498.35</v>
      </c>
      <c r="H1078" s="7">
        <f>IF(J1078=TRUE(),E1078,0)</f>
        <v>165965</v>
      </c>
      <c r="I1078" s="7">
        <f>IF(K1078=TRUE(),E1078,0)</f>
        <v>0</v>
      </c>
      <c r="J1078" t="b" s="4">
        <v>1</v>
      </c>
      <c r="K1078" t="b" s="4">
        <v>0</v>
      </c>
    </row>
    <row r="1079" ht="17" customHeight="1">
      <c r="A1079" t="s" s="3">
        <v>482</v>
      </c>
      <c r="B1079" s="5">
        <v>41791</v>
      </c>
      <c r="C1079" t="s" s="3">
        <v>42</v>
      </c>
      <c r="D1079" t="s" s="3">
        <v>483</v>
      </c>
      <c r="E1079" s="6">
        <v>844500</v>
      </c>
      <c r="F1079" s="6">
        <f>E1079*0.19</f>
        <v>160455</v>
      </c>
      <c r="G1079" s="6">
        <f>E1079+F1079</f>
        <v>1004955</v>
      </c>
      <c r="H1079" s="7">
        <f>IF(J1079=TRUE(),E1079,0)</f>
        <v>0</v>
      </c>
      <c r="I1079" s="7">
        <f>IF(K1079=TRUE(),E1079,0)</f>
        <v>0</v>
      </c>
      <c r="J1079" t="b" s="4">
        <v>0</v>
      </c>
      <c r="K1079" t="b" s="4">
        <v>0</v>
      </c>
    </row>
    <row r="1080" ht="17" customHeight="1">
      <c r="A1080" t="s" s="3">
        <v>484</v>
      </c>
      <c r="B1080" s="5">
        <v>41791</v>
      </c>
      <c r="C1080" t="s" s="3">
        <v>42</v>
      </c>
      <c r="D1080" t="s" s="3">
        <v>485</v>
      </c>
      <c r="E1080" s="6">
        <v>1820000</v>
      </c>
      <c r="F1080" s="6">
        <f>E1080*0.19</f>
        <v>345800</v>
      </c>
      <c r="G1080" s="6">
        <f>E1080+F1080</f>
        <v>2165800</v>
      </c>
      <c r="H1080" s="7">
        <f>IF(J1080=TRUE(),E1080,0)</f>
        <v>0</v>
      </c>
      <c r="I1080" s="7">
        <f>IF(K1080=TRUE(),E1080,0)</f>
        <v>0</v>
      </c>
      <c r="J1080" t="b" s="4">
        <v>0</v>
      </c>
      <c r="K1080" t="b" s="4">
        <v>0</v>
      </c>
    </row>
    <row r="1081" ht="17.5" customHeight="1">
      <c r="A1081" t="s" s="10">
        <v>486</v>
      </c>
      <c r="B1081" s="5">
        <v>41791</v>
      </c>
      <c r="C1081" t="s" s="10">
        <v>487</v>
      </c>
      <c r="D1081" s="10"/>
      <c r="E1081" s="11">
        <v>2060212</v>
      </c>
      <c r="F1081" s="11">
        <f>E1081*0.19</f>
        <v>391440.28</v>
      </c>
      <c r="G1081" s="11">
        <f>E1081+F1081</f>
        <v>2451652.28</v>
      </c>
      <c r="H1081" s="12">
        <f>IF(J1081=TRUE(),E1081,0)</f>
        <v>2060212</v>
      </c>
      <c r="I1081" s="12">
        <f>IF(K1081=TRUE(),E1081,0)</f>
        <v>0</v>
      </c>
      <c r="J1081" t="b" s="9">
        <v>1</v>
      </c>
      <c r="K1081" t="b" s="9">
        <v>0</v>
      </c>
    </row>
    <row r="1082" ht="18" customHeight="1">
      <c r="A1082" s="13">
        <v>10</v>
      </c>
      <c r="B1082" t="s" s="3">
        <v>488</v>
      </c>
      <c r="C1082" t="s" s="14">
        <v>7</v>
      </c>
      <c r="D1082" s="14"/>
      <c r="E1082" s="15">
        <f>SUM(E1072:E1081)</f>
        <v>9712986.172</v>
      </c>
      <c r="F1082" s="15">
        <f>SUM(F1072:F1081)</f>
        <v>1845467.37268</v>
      </c>
      <c r="G1082" s="16">
        <f>SUM(G1072:G1081)</f>
        <v>11558453.54468</v>
      </c>
      <c r="H1082" s="17">
        <f>SUM(H1072:H1081)</f>
        <v>5169916</v>
      </c>
      <c r="I1082" s="17"/>
      <c r="J1082" s="18">
        <f>COUNTIF(J1072:J1081,TRUE())</f>
        <v>5</v>
      </c>
      <c r="K1082" s="19"/>
    </row>
    <row r="1083" ht="17.5" customHeight="1">
      <c r="A1083" s="20"/>
      <c r="B1083" s="5"/>
      <c r="C1083" s="20"/>
      <c r="D1083" s="21"/>
      <c r="E1083" s="20"/>
      <c r="F1083" s="20"/>
      <c r="G1083" s="20"/>
      <c r="H1083" s="22"/>
      <c r="I1083" s="22"/>
      <c r="J1083" s="20"/>
      <c r="K1083" s="20"/>
    </row>
    <row r="1084" ht="17" customHeight="1">
      <c r="A1084" t="s" s="3">
        <v>1</v>
      </c>
      <c r="B1084" t="s" s="3">
        <v>2</v>
      </c>
      <c r="C1084" t="s" s="3">
        <v>3</v>
      </c>
      <c r="D1084" t="s" s="3">
        <v>4</v>
      </c>
      <c r="E1084" t="s" s="3">
        <v>5</v>
      </c>
      <c r="F1084" t="s" s="3">
        <v>6</v>
      </c>
      <c r="G1084" t="s" s="3">
        <v>7</v>
      </c>
      <c r="H1084" s="7"/>
      <c r="I1084" s="7"/>
      <c r="J1084" s="8"/>
      <c r="K1084" s="8"/>
    </row>
    <row r="1085" ht="17.5" customHeight="1">
      <c r="A1085" s="8"/>
      <c r="B1085" s="5"/>
      <c r="C1085" s="8"/>
      <c r="D1085" s="3"/>
      <c r="E1085" s="6">
        <v>0</v>
      </c>
      <c r="F1085" s="6">
        <f>E1085*0.19</f>
        <v>0</v>
      </c>
      <c r="G1085" s="6">
        <f>E1085+F1085</f>
        <v>0</v>
      </c>
      <c r="H1085" s="7"/>
      <c r="I1085" s="7">
        <f>IF(K1085=TRUE(),E1085,0)</f>
        <v>0</v>
      </c>
      <c r="J1085" t="b" s="9">
        <v>0</v>
      </c>
      <c r="K1085" t="b" s="9">
        <v>0</v>
      </c>
    </row>
    <row r="1086" ht="18" customHeight="1">
      <c r="A1086" s="4">
        <f>COUNT(A1085)</f>
        <v>0</v>
      </c>
      <c r="B1086" t="s" s="3">
        <v>489</v>
      </c>
      <c r="C1086" t="s" s="3">
        <v>7</v>
      </c>
      <c r="D1086" s="3"/>
      <c r="E1086" s="6">
        <f>SUM(E1085)</f>
        <v>0</v>
      </c>
      <c r="F1086" s="6">
        <f>SUM(F1085)</f>
        <v>0</v>
      </c>
      <c r="G1086" s="6">
        <f>SUM(G1085)</f>
        <v>0</v>
      </c>
      <c r="H1086" s="7">
        <f>SUM(H1085)</f>
        <v>0</v>
      </c>
      <c r="I1086" s="7"/>
      <c r="J1086" s="23">
        <f>COUNTIF(J1085,TRUE())</f>
        <v>0</v>
      </c>
      <c r="K1086" s="19"/>
    </row>
    <row r="1087" ht="17.5" customHeight="1">
      <c r="A1087" s="8"/>
      <c r="B1087" s="5"/>
      <c r="C1087" s="8"/>
      <c r="D1087" s="3"/>
      <c r="E1087" s="8"/>
      <c r="F1087" s="8"/>
      <c r="G1087" s="8"/>
      <c r="H1087" s="7"/>
      <c r="I1087" s="7"/>
      <c r="J1087" s="20"/>
      <c r="K1087" s="20"/>
    </row>
    <row r="1088" ht="17" customHeight="1">
      <c r="A1088" t="s" s="3">
        <v>1</v>
      </c>
      <c r="B1088" t="s" s="3">
        <v>2</v>
      </c>
      <c r="C1088" t="s" s="3">
        <v>3</v>
      </c>
      <c r="D1088" t="s" s="3">
        <v>4</v>
      </c>
      <c r="E1088" t="s" s="3">
        <v>5</v>
      </c>
      <c r="F1088" t="s" s="3">
        <v>6</v>
      </c>
      <c r="G1088" t="s" s="3">
        <v>7</v>
      </c>
      <c r="H1088" s="7"/>
      <c r="I1088" s="7"/>
      <c r="J1088" s="8"/>
      <c r="K1088" s="8"/>
    </row>
    <row r="1089" ht="17" customHeight="1">
      <c r="A1089" t="s" s="3">
        <v>490</v>
      </c>
      <c r="B1089" s="5">
        <v>41852</v>
      </c>
      <c r="C1089" t="s" s="3">
        <v>357</v>
      </c>
      <c r="D1089" t="s" s="3">
        <v>140</v>
      </c>
      <c r="E1089" s="6">
        <f>14.1*24026.01</f>
        <v>338766.741</v>
      </c>
      <c r="F1089" s="6">
        <f>E1089*0.19</f>
        <v>64365.68079</v>
      </c>
      <c r="G1089" s="6">
        <f>E1089+F1089</f>
        <v>403132.42179</v>
      </c>
      <c r="H1089" s="7">
        <f>IF(J1089=TRUE(),E1089,0)</f>
        <v>338766.741</v>
      </c>
      <c r="I1089" s="7">
        <f>IF(K1089=TRUE(),E1089,0)</f>
        <v>0</v>
      </c>
      <c r="J1089" t="b" s="4">
        <v>1</v>
      </c>
      <c r="K1089" t="b" s="4">
        <v>0</v>
      </c>
    </row>
    <row r="1090" ht="17" customHeight="1">
      <c r="A1090" t="s" s="3">
        <v>491</v>
      </c>
      <c r="B1090" s="5">
        <v>41852</v>
      </c>
      <c r="C1090" t="s" s="3">
        <v>22</v>
      </c>
      <c r="D1090" t="s" s="3">
        <v>140</v>
      </c>
      <c r="E1090" s="6">
        <v>167221</v>
      </c>
      <c r="F1090" s="6">
        <f>E1090*0.19</f>
        <v>31771.99</v>
      </c>
      <c r="G1090" s="6">
        <f>E1090+F1090</f>
        <v>198992.99</v>
      </c>
      <c r="H1090" s="7">
        <f>IF(J1090=TRUE(),E1090,0)</f>
        <v>167221</v>
      </c>
      <c r="I1090" s="7">
        <f>IF(K1090=TRUE(),E1090,0)</f>
        <v>0</v>
      </c>
      <c r="J1090" t="b" s="4">
        <v>1</v>
      </c>
      <c r="K1090" t="b" s="4">
        <v>0</v>
      </c>
    </row>
    <row r="1091" ht="17" customHeight="1">
      <c r="A1091" t="s" s="3">
        <v>492</v>
      </c>
      <c r="B1091" s="5">
        <v>41852</v>
      </c>
      <c r="C1091" t="s" s="3">
        <v>66</v>
      </c>
      <c r="D1091" t="s" s="3">
        <v>493</v>
      </c>
      <c r="E1091" s="6">
        <v>293343</v>
      </c>
      <c r="F1091" s="6">
        <f>E1091*0.19</f>
        <v>55735.17</v>
      </c>
      <c r="G1091" s="6">
        <f>E1091+F1091</f>
        <v>349078.17</v>
      </c>
      <c r="H1091" s="7">
        <f>IF(J1091=TRUE(),E1091,0)</f>
        <v>293343</v>
      </c>
      <c r="I1091" s="7">
        <f>IF(K1091=TRUE(),E1091,0)</f>
        <v>0</v>
      </c>
      <c r="J1091" t="b" s="4">
        <v>1</v>
      </c>
      <c r="K1091" t="b" s="4">
        <v>0</v>
      </c>
    </row>
    <row r="1092" ht="17" customHeight="1">
      <c r="A1092" t="s" s="3">
        <v>494</v>
      </c>
      <c r="B1092" s="5">
        <v>41852</v>
      </c>
      <c r="C1092" t="s" s="3">
        <v>42</v>
      </c>
      <c r="D1092" t="s" s="3">
        <v>140</v>
      </c>
      <c r="E1092" s="6">
        <v>369520</v>
      </c>
      <c r="F1092" s="6">
        <f>E1092*0.19</f>
        <v>70208.8</v>
      </c>
      <c r="G1092" s="6">
        <f>E1092+F1092</f>
        <v>439728.8</v>
      </c>
      <c r="H1092" s="7">
        <f>IF(J1092=TRUE(),E1092,0)</f>
        <v>369520</v>
      </c>
      <c r="I1092" s="7">
        <f>IF(K1092=TRUE(),E1092,0)</f>
        <v>0</v>
      </c>
      <c r="J1092" t="b" s="4">
        <v>1</v>
      </c>
      <c r="K1092" t="b" s="4">
        <v>0</v>
      </c>
    </row>
    <row r="1093" ht="17" customHeight="1">
      <c r="A1093" t="s" s="3">
        <v>495</v>
      </c>
      <c r="B1093" s="5">
        <v>41852</v>
      </c>
      <c r="C1093" t="s" s="3">
        <v>60</v>
      </c>
      <c r="D1093" t="s" s="3">
        <v>140</v>
      </c>
      <c r="E1093" s="6">
        <v>73039</v>
      </c>
      <c r="F1093" s="6">
        <f>E1093*0.19</f>
        <v>13877.41</v>
      </c>
      <c r="G1093" s="6">
        <f>E1093+F1093</f>
        <v>86916.41</v>
      </c>
      <c r="H1093" s="7">
        <f>IF(J1093=TRUE(),E1093,0)</f>
        <v>73039</v>
      </c>
      <c r="I1093" s="7">
        <f>IF(K1093=TRUE(),E1093,0)</f>
        <v>0</v>
      </c>
      <c r="J1093" t="b" s="4">
        <v>1</v>
      </c>
      <c r="K1093" t="b" s="4">
        <v>0</v>
      </c>
    </row>
    <row r="1094" ht="17" customHeight="1">
      <c r="A1094" t="s" s="3">
        <v>496</v>
      </c>
      <c r="B1094" s="5">
        <v>41852</v>
      </c>
      <c r="C1094" t="s" s="3">
        <v>34</v>
      </c>
      <c r="D1094" t="s" s="3">
        <v>140</v>
      </c>
      <c r="E1094" s="6">
        <f>2.34*23510.1</f>
        <v>55013.633999999991</v>
      </c>
      <c r="F1094" s="6">
        <f>E1094*0.19</f>
        <v>10452.59046</v>
      </c>
      <c r="G1094" s="6">
        <f>E1094+F1094</f>
        <v>65466.224459999990</v>
      </c>
      <c r="H1094" s="7">
        <f>IF(J1094=TRUE(),E1094,0)</f>
        <v>55013.633999999991</v>
      </c>
      <c r="I1094" s="7">
        <f>IF(K1094=TRUE(),E1094,0)</f>
        <v>0</v>
      </c>
      <c r="J1094" t="b" s="4">
        <v>1</v>
      </c>
      <c r="K1094" t="b" s="4">
        <v>0</v>
      </c>
    </row>
    <row r="1095" ht="17" customHeight="1">
      <c r="A1095" t="s" s="3">
        <v>497</v>
      </c>
      <c r="B1095" s="5">
        <v>41852</v>
      </c>
      <c r="C1095" t="s" s="3">
        <v>384</v>
      </c>
      <c r="D1095" t="s" s="3">
        <v>140</v>
      </c>
      <c r="E1095" s="6">
        <f>1.75*24026.01</f>
        <v>42045.517499999994</v>
      </c>
      <c r="F1095" s="6">
        <f>E1095*0.19</f>
        <v>7988.648324999999</v>
      </c>
      <c r="G1095" s="6">
        <f>E1095+F1095</f>
        <v>50034.165825</v>
      </c>
      <c r="H1095" s="7">
        <f>IF(J1095=TRUE(),E1095,0)</f>
        <v>42045.517499999994</v>
      </c>
      <c r="I1095" s="7">
        <f>IF(K1095=TRUE(),E1095,0)</f>
        <v>0</v>
      </c>
      <c r="J1095" t="b" s="4">
        <v>1</v>
      </c>
      <c r="K1095" t="b" s="4">
        <v>0</v>
      </c>
    </row>
    <row r="1096" ht="17" customHeight="1">
      <c r="A1096" t="s" s="3">
        <v>498</v>
      </c>
      <c r="B1096" s="5">
        <v>41852</v>
      </c>
      <c r="C1096" t="s" s="3">
        <v>42</v>
      </c>
      <c r="D1096" t="s" s="3">
        <v>499</v>
      </c>
      <c r="E1096" s="6">
        <v>308450</v>
      </c>
      <c r="F1096" s="6">
        <f>E1096*0.19</f>
        <v>58605.5</v>
      </c>
      <c r="G1096" s="6">
        <f>E1096+F1096</f>
        <v>367055.5</v>
      </c>
      <c r="H1096" s="7">
        <f>IF(J1096=TRUE(),E1096,0)</f>
        <v>308450</v>
      </c>
      <c r="I1096" s="7">
        <f>IF(K1096=TRUE(),E1096,0)</f>
        <v>0</v>
      </c>
      <c r="J1096" t="b" s="4">
        <v>1</v>
      </c>
      <c r="K1096" t="b" s="4">
        <v>0</v>
      </c>
    </row>
    <row r="1097" ht="17" customHeight="1">
      <c r="A1097" t="s" s="3">
        <v>500</v>
      </c>
      <c r="B1097" s="5">
        <v>41852</v>
      </c>
      <c r="C1097" t="s" s="3">
        <v>487</v>
      </c>
      <c r="D1097" t="s" s="3">
        <v>493</v>
      </c>
      <c r="E1097" s="6">
        <f>1.86*24026.01+34.68*24063.05+6.8*24063.05</f>
        <v>1042823.6926</v>
      </c>
      <c r="F1097" s="6">
        <f>E1097*0.19</f>
        <v>198136.501594</v>
      </c>
      <c r="G1097" s="6">
        <f>E1097+F1097</f>
        <v>1240960.194194</v>
      </c>
      <c r="H1097" s="7">
        <f>IF(J1097=TRUE(),E1097,0)</f>
        <v>1042823.6926</v>
      </c>
      <c r="I1097" s="7">
        <f>IF(K1097=TRUE(),E1097,0)</f>
        <v>0</v>
      </c>
      <c r="J1097" t="b" s="4">
        <v>1</v>
      </c>
      <c r="K1097" t="b" s="4">
        <v>0</v>
      </c>
    </row>
    <row r="1098" ht="17" customHeight="1">
      <c r="A1098" t="s" s="3">
        <v>501</v>
      </c>
      <c r="B1098" s="5">
        <v>41852</v>
      </c>
      <c r="C1098" t="s" s="3">
        <v>10</v>
      </c>
      <c r="D1098" t="s" s="3">
        <v>502</v>
      </c>
      <c r="E1098" s="6">
        <v>624052</v>
      </c>
      <c r="F1098" s="6">
        <f>E1098*0.19</f>
        <v>118569.88</v>
      </c>
      <c r="G1098" s="6">
        <f>E1098+F1098</f>
        <v>742621.88</v>
      </c>
      <c r="H1098" s="7">
        <f>IF(J1098=TRUE(),E1098,0)</f>
        <v>0</v>
      </c>
      <c r="I1098" s="7">
        <f>IF(K1098=TRUE(),E1098,0)</f>
        <v>0</v>
      </c>
      <c r="J1098" t="b" s="4">
        <v>0</v>
      </c>
      <c r="K1098" t="b" s="4">
        <v>0</v>
      </c>
    </row>
    <row r="1099" ht="17" customHeight="1">
      <c r="A1099" t="s" s="3">
        <v>503</v>
      </c>
      <c r="B1099" s="5">
        <v>41852</v>
      </c>
      <c r="C1099" t="s" s="3">
        <v>98</v>
      </c>
      <c r="D1099" s="3"/>
      <c r="E1099" s="6">
        <v>328000</v>
      </c>
      <c r="F1099" s="6">
        <f>E1099*0.19</f>
        <v>62320</v>
      </c>
      <c r="G1099" s="6">
        <f>E1099+F1099</f>
        <v>390320</v>
      </c>
      <c r="H1099" s="7">
        <f>IF(J1099=TRUE(),E1099,0)</f>
        <v>328000</v>
      </c>
      <c r="I1099" s="7">
        <f>IF(K1099=TRUE(),E1099,0)</f>
        <v>0</v>
      </c>
      <c r="J1099" t="b" s="4">
        <v>1</v>
      </c>
      <c r="K1099" t="b" s="4">
        <v>0</v>
      </c>
    </row>
    <row r="1100" ht="17" customHeight="1">
      <c r="A1100" t="s" s="3">
        <v>504</v>
      </c>
      <c r="B1100" s="5">
        <v>41852</v>
      </c>
      <c r="C1100" t="s" s="3">
        <v>98</v>
      </c>
      <c r="D1100" s="3"/>
      <c r="E1100" s="6">
        <v>1394958</v>
      </c>
      <c r="F1100" s="6">
        <f>E1100*0.19</f>
        <v>265042.02</v>
      </c>
      <c r="G1100" s="6">
        <f>E1100+F1100</f>
        <v>1660000.02</v>
      </c>
      <c r="H1100" s="7">
        <f>IF(J1100=TRUE(),E1100,0)</f>
        <v>1394958</v>
      </c>
      <c r="I1100" s="7">
        <f>IF(K1100=TRUE(),E1100,0)</f>
        <v>0</v>
      </c>
      <c r="J1100" t="b" s="4">
        <v>1</v>
      </c>
      <c r="K1100" t="b" s="4">
        <v>0</v>
      </c>
    </row>
    <row r="1101" ht="17" customHeight="1">
      <c r="A1101" t="s" s="3">
        <v>505</v>
      </c>
      <c r="B1101" s="5">
        <v>41852</v>
      </c>
      <c r="C1101" t="s" s="3">
        <v>98</v>
      </c>
      <c r="D1101" s="3"/>
      <c r="E1101" s="6">
        <f>2.4*23510.14+2.4*23610.77+2.4*23779.73+2.4*23936.31+2.4*24026.01+2.4*24063.05</f>
        <v>343022.424</v>
      </c>
      <c r="F1101" s="6">
        <f>E1101*0.19</f>
        <v>65174.26056</v>
      </c>
      <c r="G1101" s="6">
        <f>E1101+F1101</f>
        <v>408196.68456</v>
      </c>
      <c r="H1101" s="7">
        <f>IF(J1101=TRUE(),E1101,0)</f>
        <v>343022.424</v>
      </c>
      <c r="I1101" s="7">
        <f>IF(K1101=TRUE(),E1101,0)</f>
        <v>0</v>
      </c>
      <c r="J1101" t="b" s="4">
        <v>1</v>
      </c>
      <c r="K1101" t="b" s="4">
        <v>0</v>
      </c>
    </row>
    <row r="1102" ht="17" customHeight="1">
      <c r="A1102" t="s" s="3">
        <v>506</v>
      </c>
      <c r="B1102" s="5">
        <v>41852</v>
      </c>
      <c r="C1102" t="s" s="3">
        <v>183</v>
      </c>
      <c r="D1102" s="3"/>
      <c r="E1102" s="6">
        <v>420202.5</v>
      </c>
      <c r="F1102" s="6">
        <f>E1102*0.19</f>
        <v>79838.475000000006</v>
      </c>
      <c r="G1102" s="6">
        <f>E1102+F1102</f>
        <v>500040.975</v>
      </c>
      <c r="H1102" s="7">
        <f>IF(J1102=TRUE(),E1102,0)</f>
        <v>0</v>
      </c>
      <c r="I1102" s="7">
        <f>IF(K1102=TRUE(),E1102,0)</f>
        <v>0</v>
      </c>
      <c r="J1102" t="b" s="4">
        <v>0</v>
      </c>
      <c r="K1102" t="b" s="4">
        <v>0</v>
      </c>
    </row>
    <row r="1103" ht="17" customHeight="1">
      <c r="A1103" t="s" s="3">
        <v>507</v>
      </c>
      <c r="B1103" s="5">
        <v>41852</v>
      </c>
      <c r="C1103" t="s" s="3">
        <v>183</v>
      </c>
      <c r="D1103" t="s" s="3">
        <v>508</v>
      </c>
      <c r="E1103" s="6">
        <v>100000</v>
      </c>
      <c r="F1103" s="6">
        <f>E1103*0.19</f>
        <v>19000</v>
      </c>
      <c r="G1103" s="6">
        <f>E1103+F1103</f>
        <v>119000</v>
      </c>
      <c r="H1103" s="7">
        <f>IF(J1103=TRUE(),E1103,0)</f>
        <v>0</v>
      </c>
      <c r="I1103" s="7">
        <f>IF(K1103=TRUE(),E1103,0)</f>
        <v>0</v>
      </c>
      <c r="J1103" t="b" s="4">
        <v>0</v>
      </c>
      <c r="K1103" t="b" s="4">
        <v>0</v>
      </c>
    </row>
    <row r="1104" ht="17" customHeight="1">
      <c r="A1104" t="s" s="3">
        <v>509</v>
      </c>
      <c r="B1104" s="5">
        <v>41852</v>
      </c>
      <c r="C1104" t="s" s="3">
        <v>183</v>
      </c>
      <c r="D1104" t="s" s="3">
        <v>510</v>
      </c>
      <c r="E1104" s="6">
        <v>155000</v>
      </c>
      <c r="F1104" s="6">
        <f>E1104*0.19</f>
        <v>29450</v>
      </c>
      <c r="G1104" s="6">
        <f>E1104+F1104</f>
        <v>184450</v>
      </c>
      <c r="H1104" s="7">
        <f>IF(J1104=TRUE(),E1104,0)</f>
        <v>0</v>
      </c>
      <c r="I1104" s="7">
        <f>IF(K1104=TRUE(),E1104,0)</f>
        <v>0</v>
      </c>
      <c r="J1104" t="b" s="4">
        <v>0</v>
      </c>
      <c r="K1104" t="b" s="4">
        <v>0</v>
      </c>
    </row>
    <row r="1105" ht="17" customHeight="1">
      <c r="A1105" t="s" s="3">
        <v>511</v>
      </c>
      <c r="B1105" s="5">
        <v>41852</v>
      </c>
      <c r="C1105" t="s" s="3">
        <v>40</v>
      </c>
      <c r="D1105" t="s" s="3">
        <v>70</v>
      </c>
      <c r="E1105" s="6">
        <v>158000</v>
      </c>
      <c r="F1105" s="6">
        <f>E1105*0.19</f>
        <v>30020</v>
      </c>
      <c r="G1105" s="6">
        <f>E1105+F1105</f>
        <v>188020</v>
      </c>
      <c r="H1105" s="7">
        <f>IF(J1105=TRUE(),E1105,0)</f>
        <v>158000</v>
      </c>
      <c r="I1105" s="7">
        <f>IF(K1105=TRUE(),E1105,0)</f>
        <v>0</v>
      </c>
      <c r="J1105" t="b" s="4">
        <v>1</v>
      </c>
      <c r="K1105" t="b" s="4">
        <v>0</v>
      </c>
    </row>
    <row r="1106" ht="17" customHeight="1">
      <c r="A1106" t="s" s="3">
        <v>512</v>
      </c>
      <c r="B1106" s="5">
        <v>41852</v>
      </c>
      <c r="C1106" t="s" s="3">
        <v>40</v>
      </c>
      <c r="D1106" t="s" s="3">
        <v>84</v>
      </c>
      <c r="E1106" s="6">
        <v>158000</v>
      </c>
      <c r="F1106" s="6">
        <f>E1106*0.19</f>
        <v>30020</v>
      </c>
      <c r="G1106" s="6">
        <f>E1106+F1106</f>
        <v>188020</v>
      </c>
      <c r="H1106" s="7">
        <f>IF(J1106=TRUE(),E1106,0)</f>
        <v>158000</v>
      </c>
      <c r="I1106" s="7">
        <f>IF(K1106=TRUE(),E1106,0)</f>
        <v>0</v>
      </c>
      <c r="J1106" t="b" s="4">
        <v>1</v>
      </c>
      <c r="K1106" t="b" s="4">
        <v>0</v>
      </c>
    </row>
    <row r="1107" ht="17" customHeight="1">
      <c r="A1107" t="s" s="3">
        <v>513</v>
      </c>
      <c r="B1107" s="5">
        <v>41852</v>
      </c>
      <c r="C1107" t="s" s="3">
        <v>40</v>
      </c>
      <c r="D1107" t="s" s="3">
        <v>101</v>
      </c>
      <c r="E1107" s="6">
        <v>158000</v>
      </c>
      <c r="F1107" s="6">
        <f>E1107*0.19</f>
        <v>30020</v>
      </c>
      <c r="G1107" s="6">
        <f>E1107+F1107</f>
        <v>188020</v>
      </c>
      <c r="H1107" s="7">
        <f>IF(J1107=TRUE(),E1107,0)</f>
        <v>158000</v>
      </c>
      <c r="I1107" s="7">
        <f>IF(K1107=TRUE(),E1107,0)</f>
        <v>0</v>
      </c>
      <c r="J1107" t="b" s="4">
        <v>1</v>
      </c>
      <c r="K1107" t="b" s="4">
        <v>0</v>
      </c>
    </row>
    <row r="1108" ht="17" customHeight="1">
      <c r="A1108" t="s" s="3">
        <v>514</v>
      </c>
      <c r="B1108" s="5">
        <v>41852</v>
      </c>
      <c r="C1108" t="s" s="3">
        <v>40</v>
      </c>
      <c r="D1108" t="s" s="3">
        <v>122</v>
      </c>
      <c r="E1108" s="6">
        <v>158000</v>
      </c>
      <c r="F1108" s="6">
        <f>E1108*0.19</f>
        <v>30020</v>
      </c>
      <c r="G1108" s="6">
        <f>E1108+F1108</f>
        <v>188020</v>
      </c>
      <c r="H1108" s="7">
        <f>IF(J1108=TRUE(),E1108,0)</f>
        <v>158000</v>
      </c>
      <c r="I1108" s="7">
        <f>IF(K1108=TRUE(),E1108,0)</f>
        <v>0</v>
      </c>
      <c r="J1108" t="b" s="4">
        <v>1</v>
      </c>
      <c r="K1108" t="b" s="4">
        <v>0</v>
      </c>
    </row>
    <row r="1109" ht="17" customHeight="1">
      <c r="A1109" t="s" s="3">
        <v>515</v>
      </c>
      <c r="B1109" s="5">
        <v>41852</v>
      </c>
      <c r="C1109" t="s" s="3">
        <v>40</v>
      </c>
      <c r="D1109" t="s" s="3">
        <v>140</v>
      </c>
      <c r="E1109" s="6">
        <v>158000</v>
      </c>
      <c r="F1109" s="6">
        <f>E1109*0.19</f>
        <v>30020</v>
      </c>
      <c r="G1109" s="6">
        <f>E1109+F1109</f>
        <v>188020</v>
      </c>
      <c r="H1109" s="7">
        <f>IF(J1109=TRUE(),E1109,0)</f>
        <v>158000</v>
      </c>
      <c r="I1109" s="7">
        <f>IF(K1109=TRUE(),E1109,0)</f>
        <v>0</v>
      </c>
      <c r="J1109" t="b" s="4">
        <v>1</v>
      </c>
      <c r="K1109" t="b" s="4">
        <v>0</v>
      </c>
    </row>
    <row r="1110" ht="17" customHeight="1">
      <c r="A1110" t="s" s="3">
        <v>516</v>
      </c>
      <c r="B1110" s="5">
        <v>41852</v>
      </c>
      <c r="C1110" t="s" s="3">
        <v>40</v>
      </c>
      <c r="D1110" t="s" s="3">
        <v>159</v>
      </c>
      <c r="E1110" s="6">
        <v>158000</v>
      </c>
      <c r="F1110" s="6">
        <f>E1110*0.19</f>
        <v>30020</v>
      </c>
      <c r="G1110" s="6">
        <f>E1110+F1110</f>
        <v>188020</v>
      </c>
      <c r="H1110" s="7">
        <f>IF(J1110=TRUE(),E1110,0)</f>
        <v>158000</v>
      </c>
      <c r="I1110" s="7">
        <f>IF(K1110=TRUE(),E1110,0)</f>
        <v>0</v>
      </c>
      <c r="J1110" t="b" s="4">
        <v>1</v>
      </c>
      <c r="K1110" t="b" s="4">
        <v>0</v>
      </c>
    </row>
    <row r="1111" ht="17" customHeight="1">
      <c r="A1111" t="s" s="3">
        <v>517</v>
      </c>
      <c r="B1111" s="5">
        <v>41852</v>
      </c>
      <c r="C1111" t="s" s="3">
        <v>98</v>
      </c>
      <c r="D1111" t="s" s="3">
        <v>518</v>
      </c>
      <c r="E1111" s="6">
        <v>162935.7</v>
      </c>
      <c r="F1111" s="6">
        <f>E1111*0.19</f>
        <v>30957.783</v>
      </c>
      <c r="G1111" s="6">
        <f>E1111+F1111</f>
        <v>193893.483</v>
      </c>
      <c r="H1111" s="7">
        <f>IF(J1111=TRUE(),E1111,0)</f>
        <v>162935.7</v>
      </c>
      <c r="I1111" s="7">
        <f>IF(K1111=TRUE(),E1111,0)</f>
        <v>0</v>
      </c>
      <c r="J1111" t="b" s="4">
        <v>1</v>
      </c>
      <c r="K1111" t="b" s="4">
        <v>0</v>
      </c>
    </row>
    <row r="1112" ht="17" customHeight="1">
      <c r="A1112" t="s" s="3">
        <v>519</v>
      </c>
      <c r="B1112" s="5">
        <v>41852</v>
      </c>
      <c r="C1112" t="s" s="3">
        <v>520</v>
      </c>
      <c r="D1112" t="s" s="3">
        <v>518</v>
      </c>
      <c r="E1112" s="6">
        <v>573511</v>
      </c>
      <c r="F1112" s="6">
        <f>E1112*0.19</f>
        <v>108967.09</v>
      </c>
      <c r="G1112" s="6">
        <f>E1112+F1112</f>
        <v>682478.09</v>
      </c>
      <c r="H1112" s="7">
        <f>IF(J1112=TRUE(),E1112,0)</f>
        <v>573511</v>
      </c>
      <c r="I1112" s="7">
        <f>IF(K1112=TRUE(),E1112,0)</f>
        <v>0</v>
      </c>
      <c r="J1112" t="b" s="4">
        <v>1</v>
      </c>
      <c r="K1112" t="b" s="4">
        <v>0</v>
      </c>
    </row>
    <row r="1113" ht="17" customHeight="1">
      <c r="A1113" t="s" s="3">
        <v>521</v>
      </c>
      <c r="B1113" s="5">
        <v>41852</v>
      </c>
      <c r="C1113" t="s" s="3">
        <v>357</v>
      </c>
      <c r="D1113" t="s" s="3">
        <v>522</v>
      </c>
      <c r="E1113" s="6">
        <v>339289</v>
      </c>
      <c r="F1113" s="6">
        <f>E1113*0.19</f>
        <v>64464.91</v>
      </c>
      <c r="G1113" s="6">
        <f>E1113+F1113</f>
        <v>403753.91</v>
      </c>
      <c r="H1113" s="7">
        <f>IF(J1113=TRUE(),E1113,0)</f>
        <v>339289</v>
      </c>
      <c r="I1113" s="7">
        <f>IF(K1113=TRUE(),E1113,0)</f>
        <v>0</v>
      </c>
      <c r="J1113" t="b" s="4">
        <v>1</v>
      </c>
      <c r="K1113" t="b" s="4">
        <v>0</v>
      </c>
    </row>
    <row r="1114" ht="17" customHeight="1">
      <c r="A1114" t="s" s="3">
        <v>523</v>
      </c>
      <c r="B1114" s="5">
        <v>41852</v>
      </c>
      <c r="C1114" t="s" s="3">
        <v>22</v>
      </c>
      <c r="D1114" t="s" s="3">
        <v>159</v>
      </c>
      <c r="E1114" s="6">
        <v>167479</v>
      </c>
      <c r="F1114" s="6">
        <f>E1114*0.19</f>
        <v>31821.01</v>
      </c>
      <c r="G1114" s="6">
        <f>E1114+F1114</f>
        <v>199300.01</v>
      </c>
      <c r="H1114" s="7">
        <f>IF(J1114=TRUE(),E1114,0)</f>
        <v>167479</v>
      </c>
      <c r="I1114" s="7">
        <f>IF(K1114=TRUE(),E1114,0)</f>
        <v>0</v>
      </c>
      <c r="J1114" t="b" s="4">
        <v>1</v>
      </c>
      <c r="K1114" t="b" s="4">
        <v>0</v>
      </c>
    </row>
    <row r="1115" ht="17" customHeight="1">
      <c r="A1115" t="s" s="3">
        <v>524</v>
      </c>
      <c r="B1115" s="5">
        <v>41852</v>
      </c>
      <c r="C1115" t="s" s="3">
        <v>42</v>
      </c>
      <c r="D1115" t="s" s="3">
        <v>159</v>
      </c>
      <c r="E1115" s="6">
        <v>370090</v>
      </c>
      <c r="F1115" s="6">
        <f>E1115*0.19</f>
        <v>70317.100000000006</v>
      </c>
      <c r="G1115" s="6">
        <f>E1115+F1115</f>
        <v>440407.1</v>
      </c>
      <c r="H1115" s="7">
        <f>IF(J1115=TRUE(),E1115,0)</f>
        <v>370090</v>
      </c>
      <c r="I1115" s="7">
        <f>IF(K1115=TRUE(),E1115,0)</f>
        <v>0</v>
      </c>
      <c r="J1115" t="b" s="4">
        <v>1</v>
      </c>
      <c r="K1115" t="b" s="4">
        <v>0</v>
      </c>
    </row>
    <row r="1116" ht="17" customHeight="1">
      <c r="A1116" t="s" s="3">
        <v>525</v>
      </c>
      <c r="B1116" s="5">
        <v>41852</v>
      </c>
      <c r="C1116" t="s" s="3">
        <v>60</v>
      </c>
      <c r="D1116" t="s" s="3">
        <v>159</v>
      </c>
      <c r="E1116" s="6">
        <f>3.04*24063.05</f>
        <v>73151.671999999991</v>
      </c>
      <c r="F1116" s="6">
        <f>E1116*0.19</f>
        <v>13898.81768</v>
      </c>
      <c r="G1116" s="6">
        <f>E1116+F1116</f>
        <v>87050.489679999984</v>
      </c>
      <c r="H1116" s="7">
        <f>IF(J1116=TRUE(),E1116,0)</f>
        <v>73151.671999999991</v>
      </c>
      <c r="I1116" s="7">
        <f>IF(K1116=TRUE(),E1116,0)</f>
        <v>0</v>
      </c>
      <c r="J1116" t="b" s="4">
        <v>1</v>
      </c>
      <c r="K1116" t="b" s="4">
        <v>0</v>
      </c>
    </row>
    <row r="1117" ht="17" customHeight="1">
      <c r="A1117" t="s" s="3">
        <v>526</v>
      </c>
      <c r="B1117" s="5">
        <v>41852</v>
      </c>
      <c r="C1117" t="s" s="3">
        <v>34</v>
      </c>
      <c r="D1117" t="s" s="3">
        <v>159</v>
      </c>
      <c r="E1117" s="6">
        <f>2.34*24063.05</f>
        <v>56307.537</v>
      </c>
      <c r="F1117" s="6">
        <f>E1117*0.19</f>
        <v>10698.43203</v>
      </c>
      <c r="G1117" s="6">
        <f>E1117+F1117</f>
        <v>67005.969029999993</v>
      </c>
      <c r="H1117" s="7">
        <f>IF(J1117=TRUE(),E1117,0)</f>
        <v>56307.537</v>
      </c>
      <c r="I1117" s="7">
        <f>IF(K1117=TRUE(),E1117,0)</f>
        <v>0</v>
      </c>
      <c r="J1117" t="b" s="4">
        <v>1</v>
      </c>
      <c r="K1117" t="b" s="4">
        <v>0</v>
      </c>
    </row>
    <row r="1118" ht="17" customHeight="1">
      <c r="A1118" t="s" s="3">
        <v>527</v>
      </c>
      <c r="B1118" s="5">
        <v>41852</v>
      </c>
      <c r="C1118" t="s" s="3">
        <v>384</v>
      </c>
      <c r="D1118" t="s" s="3">
        <v>159</v>
      </c>
      <c r="E1118" s="6">
        <v>42110</v>
      </c>
      <c r="F1118" s="6">
        <f>E1118*0.19</f>
        <v>8000.900000000001</v>
      </c>
      <c r="G1118" s="6">
        <f>E1118+F1118</f>
        <v>50110.9</v>
      </c>
      <c r="H1118" s="7">
        <f>IF(J1118=TRUE(),E1118,0)</f>
        <v>42110</v>
      </c>
      <c r="I1118" s="7">
        <f>IF(K1118=TRUE(),E1118,0)</f>
        <v>0</v>
      </c>
      <c r="J1118" t="b" s="4">
        <v>1</v>
      </c>
      <c r="K1118" t="b" s="4">
        <v>0</v>
      </c>
    </row>
    <row r="1119" ht="17" customHeight="1">
      <c r="A1119" t="s" s="3">
        <v>528</v>
      </c>
      <c r="B1119" s="5">
        <v>41852</v>
      </c>
      <c r="C1119" t="s" s="3">
        <v>529</v>
      </c>
      <c r="D1119" t="s" s="3">
        <v>530</v>
      </c>
      <c r="E1119" s="6">
        <v>1996397</v>
      </c>
      <c r="F1119" s="6">
        <f>E1119*0.19</f>
        <v>379315.43</v>
      </c>
      <c r="G1119" s="6">
        <f>E1119+F1119</f>
        <v>2375712.43</v>
      </c>
      <c r="H1119" s="7">
        <f>IF(J1119=TRUE(),E1119,0)</f>
        <v>1996397</v>
      </c>
      <c r="I1119" s="7">
        <f>IF(K1119=TRUE(),E1119,0)</f>
        <v>0</v>
      </c>
      <c r="J1119" t="b" s="4">
        <v>1</v>
      </c>
      <c r="K1119" t="b" s="4">
        <v>0</v>
      </c>
    </row>
    <row r="1120" ht="17" customHeight="1">
      <c r="A1120" t="s" s="3">
        <v>531</v>
      </c>
      <c r="B1120" s="5">
        <v>41852</v>
      </c>
      <c r="C1120" t="s" s="3">
        <v>532</v>
      </c>
      <c r="D1120" t="s" s="3">
        <v>530</v>
      </c>
      <c r="E1120" s="6">
        <v>2329129.7</v>
      </c>
      <c r="F1120" s="6">
        <f>E1120*0.19</f>
        <v>442534.643</v>
      </c>
      <c r="G1120" s="6">
        <f>E1120+F1120</f>
        <v>2771664.343</v>
      </c>
      <c r="H1120" s="7">
        <f>IF(J1120=TRUE(),E1120,0)</f>
        <v>2329129.7</v>
      </c>
      <c r="I1120" s="7">
        <f>IF(K1120=TRUE(),E1120,0)</f>
        <v>0</v>
      </c>
      <c r="J1120" t="b" s="4">
        <v>1</v>
      </c>
      <c r="K1120" t="b" s="4">
        <v>0</v>
      </c>
    </row>
    <row r="1121" ht="17" customHeight="1">
      <c r="A1121" t="s" s="3">
        <v>533</v>
      </c>
      <c r="B1121" s="5">
        <v>41852</v>
      </c>
      <c r="C1121" t="s" s="3">
        <v>449</v>
      </c>
      <c r="D1121" t="s" s="3">
        <v>530</v>
      </c>
      <c r="E1121" s="6">
        <v>4325527</v>
      </c>
      <c r="F1121" s="6">
        <f>E1121*0.19</f>
        <v>821850.13</v>
      </c>
      <c r="G1121" s="6">
        <f>E1121+F1121</f>
        <v>5147377.13</v>
      </c>
      <c r="H1121" s="7">
        <f>IF(J1121=TRUE(),E1121,0)</f>
        <v>4325527</v>
      </c>
      <c r="I1121" s="7">
        <f>IF(K1121=TRUE(),E1121,0)</f>
        <v>0</v>
      </c>
      <c r="J1121" t="b" s="4">
        <v>1</v>
      </c>
      <c r="K1121" t="b" s="4">
        <v>0</v>
      </c>
    </row>
    <row r="1122" ht="17" customHeight="1">
      <c r="A1122" t="s" s="3">
        <v>534</v>
      </c>
      <c r="B1122" s="5">
        <v>41852</v>
      </c>
      <c r="C1122" t="s" s="3">
        <v>253</v>
      </c>
      <c r="D1122" t="s" s="3">
        <v>535</v>
      </c>
      <c r="E1122" s="6">
        <v>1648439.9</v>
      </c>
      <c r="F1122" s="6">
        <f>E1122*0.19</f>
        <v>313203.581</v>
      </c>
      <c r="G1122" s="6">
        <f>E1122+F1122</f>
        <v>1961643.481</v>
      </c>
      <c r="H1122" s="7">
        <f>IF(J1122=TRUE(),E1122,0)</f>
        <v>1648439.9</v>
      </c>
      <c r="I1122" s="7">
        <f>IF(K1122=TRUE(),E1122,0)</f>
        <v>0</v>
      </c>
      <c r="J1122" t="b" s="4">
        <v>1</v>
      </c>
      <c r="K1122" t="b" s="4">
        <v>0</v>
      </c>
    </row>
    <row r="1123" ht="17" customHeight="1">
      <c r="A1123" t="s" s="3">
        <v>536</v>
      </c>
      <c r="B1123" s="5">
        <v>41852</v>
      </c>
      <c r="C1123" t="s" s="3">
        <v>253</v>
      </c>
      <c r="D1123" t="s" s="3">
        <v>537</v>
      </c>
      <c r="E1123" s="6">
        <v>1810718</v>
      </c>
      <c r="F1123" s="6">
        <f>E1123*0.19</f>
        <v>344036.42</v>
      </c>
      <c r="G1123" s="6">
        <f>E1123+F1123</f>
        <v>2154754.42</v>
      </c>
      <c r="H1123" s="7">
        <f>IF(J1123=TRUE(),E1123,0)</f>
        <v>1810718</v>
      </c>
      <c r="I1123" s="7">
        <f>IF(K1123=TRUE(),E1123,0)</f>
        <v>0</v>
      </c>
      <c r="J1123" t="b" s="4">
        <v>1</v>
      </c>
      <c r="K1123" t="b" s="4">
        <v>0</v>
      </c>
    </row>
    <row r="1124" ht="17" customHeight="1">
      <c r="A1124" t="s" s="3">
        <v>538</v>
      </c>
      <c r="B1124" s="5">
        <v>41852</v>
      </c>
      <c r="C1124" t="s" s="3">
        <v>26</v>
      </c>
      <c r="D1124" t="s" s="3">
        <v>535</v>
      </c>
      <c r="E1124" s="6">
        <v>1323715</v>
      </c>
      <c r="F1124" s="6">
        <f>E1124*0.19</f>
        <v>251505.85</v>
      </c>
      <c r="G1124" s="6">
        <f>E1124+F1124</f>
        <v>1575220.85</v>
      </c>
      <c r="H1124" s="7">
        <f>IF(J1124=TRUE(),E1124,0)</f>
        <v>1323715</v>
      </c>
      <c r="I1124" s="7">
        <f>IF(K1124=TRUE(),E1124,0)</f>
        <v>0</v>
      </c>
      <c r="J1124" t="b" s="4">
        <v>1</v>
      </c>
      <c r="K1124" t="b" s="4">
        <v>0</v>
      </c>
    </row>
    <row r="1125" ht="17" customHeight="1">
      <c r="A1125" t="s" s="3">
        <v>539</v>
      </c>
      <c r="B1125" s="5">
        <v>41852</v>
      </c>
      <c r="C1125" t="s" s="3">
        <v>26</v>
      </c>
      <c r="D1125" t="s" s="3">
        <v>537</v>
      </c>
      <c r="E1125" s="6">
        <v>1511813</v>
      </c>
      <c r="F1125" s="6">
        <f>E1125*0.19</f>
        <v>287244.47</v>
      </c>
      <c r="G1125" s="6">
        <f>E1125+F1125</f>
        <v>1799057.47</v>
      </c>
      <c r="H1125" s="7">
        <f>IF(J1125=TRUE(),E1125,0)</f>
        <v>1511813</v>
      </c>
      <c r="I1125" s="7">
        <f>IF(K1125=TRUE(),E1125,0)</f>
        <v>0</v>
      </c>
      <c r="J1125" t="b" s="4">
        <v>1</v>
      </c>
      <c r="K1125" t="b" s="4">
        <v>0</v>
      </c>
    </row>
    <row r="1126" ht="17" customHeight="1">
      <c r="A1126" t="s" s="3">
        <v>540</v>
      </c>
      <c r="B1126" s="5">
        <v>41852</v>
      </c>
      <c r="C1126" t="s" s="3">
        <v>541</v>
      </c>
      <c r="D1126" t="s" s="3">
        <v>542</v>
      </c>
      <c r="E1126" s="6">
        <v>160000</v>
      </c>
      <c r="F1126" s="6">
        <f>E1126*0.19</f>
        <v>30400</v>
      </c>
      <c r="G1126" s="6">
        <f>E1126+F1126</f>
        <v>190400</v>
      </c>
      <c r="H1126" s="7">
        <f>IF(J1126=TRUE(),E1126,0)</f>
        <v>160000</v>
      </c>
      <c r="I1126" s="7">
        <f>IF(K1126=TRUE(),E1126,0)</f>
        <v>0</v>
      </c>
      <c r="J1126" t="b" s="4">
        <v>1</v>
      </c>
      <c r="K1126" t="b" s="4">
        <v>0</v>
      </c>
    </row>
    <row r="1127" ht="17" customHeight="1">
      <c r="A1127" t="s" s="3">
        <v>543</v>
      </c>
      <c r="B1127" s="5">
        <v>41852</v>
      </c>
      <c r="C1127" t="s" s="3">
        <v>357</v>
      </c>
      <c r="D1127" t="s" s="3">
        <v>363</v>
      </c>
      <c r="E1127" s="6">
        <v>225000</v>
      </c>
      <c r="F1127" s="6">
        <f>E1127*0.19</f>
        <v>42750</v>
      </c>
      <c r="G1127" s="6">
        <f>E1127+F1127</f>
        <v>267750</v>
      </c>
      <c r="H1127" s="7">
        <f>IF(J1127=TRUE(),E1127,0)</f>
        <v>0</v>
      </c>
      <c r="I1127" s="7">
        <f>IF(K1127=TRUE(),E1127,0)</f>
        <v>0</v>
      </c>
      <c r="J1127" t="b" s="4">
        <v>0</v>
      </c>
      <c r="K1127" t="b" s="4">
        <v>0</v>
      </c>
    </row>
    <row r="1128" ht="17.5" customHeight="1">
      <c r="A1128" t="s" s="10">
        <v>544</v>
      </c>
      <c r="B1128" s="5">
        <v>41852</v>
      </c>
      <c r="C1128" t="s" s="10">
        <v>98</v>
      </c>
      <c r="D1128" t="s" s="10">
        <v>542</v>
      </c>
      <c r="E1128" s="11">
        <v>544000</v>
      </c>
      <c r="F1128" s="11">
        <f>E1128*0.19</f>
        <v>103360</v>
      </c>
      <c r="G1128" s="11">
        <f>E1128+F1128</f>
        <v>647360</v>
      </c>
      <c r="H1128" s="12">
        <f>IF(J1128=TRUE(),E1128,0)</f>
        <v>544000</v>
      </c>
      <c r="I1128" s="12">
        <f>IF(K1128=TRUE(),E1128,0)</f>
        <v>0</v>
      </c>
      <c r="J1128" t="b" s="9">
        <v>1</v>
      </c>
      <c r="K1128" t="b" s="9">
        <v>0</v>
      </c>
    </row>
    <row r="1129" ht="18" customHeight="1">
      <c r="A1129" s="13">
        <v>40</v>
      </c>
      <c r="B1129" t="s" s="3">
        <v>545</v>
      </c>
      <c r="C1129" t="s" s="14">
        <v>7</v>
      </c>
      <c r="D1129" s="14"/>
      <c r="E1129" s="15">
        <f>SUM(E1089:E1128)</f>
        <v>24663071.0181</v>
      </c>
      <c r="F1129" s="15">
        <f>SUM(F1089:F1128)</f>
        <v>4685983.493438999</v>
      </c>
      <c r="G1129" s="16">
        <f>SUM(G1089:G1128)</f>
        <v>29349054.511539</v>
      </c>
      <c r="H1129" s="17">
        <f>SUM(H1089:H1128)</f>
        <v>23138816.5181</v>
      </c>
      <c r="I1129" s="17"/>
      <c r="J1129" s="18">
        <f>COUNTIF(J1089:J1128,TRUE())</f>
        <v>35</v>
      </c>
      <c r="K1129" s="19"/>
    </row>
    <row r="1130" ht="17.5" customHeight="1">
      <c r="A1130" s="20"/>
      <c r="B1130" s="5"/>
      <c r="C1130" s="20"/>
      <c r="D1130" s="21"/>
      <c r="E1130" s="24"/>
      <c r="F1130" s="24"/>
      <c r="G1130" s="24"/>
      <c r="H1130" s="22"/>
      <c r="I1130" s="22"/>
      <c r="J1130" s="20"/>
      <c r="K1130" s="20"/>
    </row>
    <row r="1131" ht="17" customHeight="1">
      <c r="A1131" t="s" s="3">
        <v>1</v>
      </c>
      <c r="B1131" t="s" s="3">
        <v>2</v>
      </c>
      <c r="C1131" t="s" s="3">
        <v>3</v>
      </c>
      <c r="D1131" t="s" s="3">
        <v>4</v>
      </c>
      <c r="E1131" t="s" s="3">
        <v>5</v>
      </c>
      <c r="F1131" t="s" s="3">
        <v>6</v>
      </c>
      <c r="G1131" t="s" s="3">
        <v>7</v>
      </c>
      <c r="H1131" s="7"/>
      <c r="I1131" s="7"/>
      <c r="J1131" s="8"/>
      <c r="K1131" s="8"/>
    </row>
    <row r="1132" ht="17" customHeight="1">
      <c r="A1132" s="4">
        <v>911</v>
      </c>
      <c r="B1132" s="5">
        <v>41944</v>
      </c>
      <c r="C1132" t="s" s="3">
        <v>56</v>
      </c>
      <c r="D1132" t="s" s="3">
        <v>546</v>
      </c>
      <c r="E1132" s="25">
        <v>435000</v>
      </c>
      <c r="F1132" s="6">
        <f>E1132*0.19</f>
        <v>82650</v>
      </c>
      <c r="G1132" s="6">
        <f>E1132+F1132</f>
        <v>517650</v>
      </c>
      <c r="H1132" s="7">
        <f>IF(J1132=TRUE(),E1132,0)</f>
        <v>0</v>
      </c>
      <c r="I1132" s="7">
        <f>IF(K1132=TRUE(),E1132,0)</f>
        <v>0</v>
      </c>
      <c r="J1132" t="b" s="4">
        <v>0</v>
      </c>
      <c r="K1132" t="b" s="4">
        <v>0</v>
      </c>
    </row>
    <row r="1133" ht="17" customHeight="1">
      <c r="A1133" s="4">
        <v>912</v>
      </c>
      <c r="B1133" s="5">
        <v>41944</v>
      </c>
      <c r="C1133" t="s" s="3">
        <v>547</v>
      </c>
      <c r="D1133" t="s" s="3">
        <v>548</v>
      </c>
      <c r="E1133" s="25">
        <v>346625</v>
      </c>
      <c r="F1133" s="6">
        <f>E1133*0.19</f>
        <v>65858.75</v>
      </c>
      <c r="G1133" s="6">
        <f>E1133+F1133</f>
        <v>412483.75</v>
      </c>
      <c r="H1133" s="7">
        <f>IF(J1133=TRUE(),E1133,0)</f>
        <v>0</v>
      </c>
      <c r="I1133" s="7">
        <f>IF(K1133=TRUE(),E1133,0)</f>
        <v>0</v>
      </c>
      <c r="J1133" t="b" s="4">
        <v>0</v>
      </c>
      <c r="K1133" t="b" s="4">
        <v>0</v>
      </c>
    </row>
    <row r="1134" ht="17" customHeight="1">
      <c r="A1134" t="s" s="3">
        <v>549</v>
      </c>
      <c r="B1134" s="5">
        <v>41973</v>
      </c>
      <c r="C1134" t="s" s="3">
        <v>547</v>
      </c>
      <c r="D1134" t="s" s="3">
        <v>550</v>
      </c>
      <c r="E1134" s="25">
        <v>-346625</v>
      </c>
      <c r="F1134" s="6">
        <f>E1134*0.19</f>
        <v>-65858.75</v>
      </c>
      <c r="G1134" s="6">
        <f>E1134+F1134</f>
        <v>-412483.75</v>
      </c>
      <c r="H1134" s="7">
        <f>IF(J1134=TRUE(),E1134,0)</f>
        <v>0</v>
      </c>
      <c r="I1134" s="7">
        <f>IF(K1134=TRUE(),E1134,0)</f>
        <v>0</v>
      </c>
      <c r="J1134" t="b" s="4">
        <v>0</v>
      </c>
      <c r="K1134" t="b" s="4">
        <v>0</v>
      </c>
    </row>
    <row r="1135" ht="17" customHeight="1">
      <c r="A1135" s="4">
        <v>913</v>
      </c>
      <c r="B1135" s="5">
        <v>41944</v>
      </c>
      <c r="C1135" t="s" s="3">
        <v>551</v>
      </c>
      <c r="D1135" t="s" s="3">
        <v>548</v>
      </c>
      <c r="E1135" s="25">
        <v>346625</v>
      </c>
      <c r="F1135" s="6">
        <f>E1135*0.19</f>
        <v>65858.75</v>
      </c>
      <c r="G1135" s="6">
        <f>E1135+F1135</f>
        <v>412483.75</v>
      </c>
      <c r="H1135" s="7">
        <f>IF(J1135=TRUE(),E1135,0)</f>
        <v>0</v>
      </c>
      <c r="I1135" s="7">
        <f>IF(K1135=TRUE(),E1135,0)</f>
        <v>0</v>
      </c>
      <c r="J1135" t="b" s="4">
        <v>0</v>
      </c>
      <c r="K1135" t="b" s="4">
        <v>0</v>
      </c>
    </row>
    <row r="1136" ht="17" customHeight="1">
      <c r="A1136" s="4">
        <v>914</v>
      </c>
      <c r="B1136" s="5">
        <v>41944</v>
      </c>
      <c r="C1136" t="s" s="3">
        <v>66</v>
      </c>
      <c r="D1136" t="s" s="3">
        <v>552</v>
      </c>
      <c r="E1136" s="25">
        <v>442912</v>
      </c>
      <c r="F1136" s="6">
        <f>E1136*0.19</f>
        <v>84153.28</v>
      </c>
      <c r="G1136" s="6">
        <f>E1136+F1136</f>
        <v>527065.28</v>
      </c>
      <c r="H1136" s="7">
        <f>IF(J1136=TRUE(),E1136,0)</f>
        <v>442912</v>
      </c>
      <c r="I1136" s="7">
        <f>IF(K1136=TRUE(),E1136,0)</f>
        <v>0</v>
      </c>
      <c r="J1136" t="b" s="4">
        <v>1</v>
      </c>
      <c r="K1136" t="b" s="4">
        <v>0</v>
      </c>
    </row>
    <row r="1137" ht="17" customHeight="1">
      <c r="A1137" s="4">
        <v>915</v>
      </c>
      <c r="B1137" s="5">
        <v>41944</v>
      </c>
      <c r="C1137" t="s" s="3">
        <v>553</v>
      </c>
      <c r="D1137" t="s" s="3">
        <v>554</v>
      </c>
      <c r="E1137" s="25">
        <v>260000</v>
      </c>
      <c r="F1137" s="6">
        <f>E1137*0.19</f>
        <v>49400</v>
      </c>
      <c r="G1137" s="6">
        <f>E1137+F1137</f>
        <v>309400</v>
      </c>
      <c r="H1137" s="7">
        <f>IF(J1137=TRUE(),E1137,0)</f>
        <v>0</v>
      </c>
      <c r="I1137" s="7">
        <f>IF(K1137=TRUE(),E1137,0)</f>
        <v>0</v>
      </c>
      <c r="J1137" t="b" s="4">
        <v>0</v>
      </c>
      <c r="K1137" t="b" s="4">
        <v>0</v>
      </c>
    </row>
    <row r="1138" ht="17" customHeight="1">
      <c r="A1138" s="4">
        <v>916</v>
      </c>
      <c r="B1138" s="5">
        <v>41944</v>
      </c>
      <c r="C1138" t="s" s="3">
        <v>555</v>
      </c>
      <c r="D1138" t="s" s="3">
        <v>552</v>
      </c>
      <c r="E1138" s="25">
        <v>291607</v>
      </c>
      <c r="F1138" s="6">
        <f>E1138*0.19</f>
        <v>55405.33</v>
      </c>
      <c r="G1138" s="6">
        <f>E1138+F1138</f>
        <v>347012.33</v>
      </c>
      <c r="H1138" s="7">
        <f>IF(J1138=TRUE(),E1138,0)</f>
        <v>291607</v>
      </c>
      <c r="I1138" s="7">
        <f>IF(K1138=TRUE(),E1138,0)</f>
        <v>0</v>
      </c>
      <c r="J1138" t="b" s="4">
        <v>1</v>
      </c>
      <c r="K1138" t="b" s="4">
        <v>0</v>
      </c>
    </row>
    <row r="1139" ht="17" customHeight="1">
      <c r="A1139" s="4">
        <v>917</v>
      </c>
      <c r="B1139" s="5">
        <v>41944</v>
      </c>
      <c r="C1139" t="s" s="3">
        <v>98</v>
      </c>
      <c r="D1139" t="s" s="3">
        <v>552</v>
      </c>
      <c r="E1139" s="25">
        <v>708660</v>
      </c>
      <c r="F1139" s="6">
        <f>E1139*0.19</f>
        <v>134645.4</v>
      </c>
      <c r="G1139" s="6">
        <f>E1139+F1139</f>
        <v>843305.4</v>
      </c>
      <c r="H1139" s="7">
        <f>IF(J1139=TRUE(),E1139,0)</f>
        <v>708660</v>
      </c>
      <c r="I1139" s="7">
        <f>IF(K1139=TRUE(),E1139,0)</f>
        <v>0</v>
      </c>
      <c r="J1139" t="b" s="4">
        <v>1</v>
      </c>
      <c r="K1139" t="b" s="4">
        <v>0</v>
      </c>
    </row>
    <row r="1140" ht="17" customHeight="1">
      <c r="A1140" s="4">
        <v>918</v>
      </c>
      <c r="B1140" s="5">
        <v>41944</v>
      </c>
      <c r="C1140" t="s" s="3">
        <v>98</v>
      </c>
      <c r="D1140" t="s" s="3">
        <v>552</v>
      </c>
      <c r="E1140" s="25">
        <v>58087</v>
      </c>
      <c r="F1140" s="6">
        <f>E1140*0.19</f>
        <v>11036.53</v>
      </c>
      <c r="G1140" s="6">
        <f>E1140+F1140</f>
        <v>69123.53</v>
      </c>
      <c r="H1140" s="7">
        <f>IF(J1140=TRUE(),E1140,0)</f>
        <v>58087</v>
      </c>
      <c r="I1140" s="7">
        <f>IF(K1140=TRUE(),E1140,0)</f>
        <v>0</v>
      </c>
      <c r="J1140" t="b" s="4">
        <v>1</v>
      </c>
      <c r="K1140" t="b" s="4">
        <v>0</v>
      </c>
    </row>
    <row r="1141" ht="17" customHeight="1">
      <c r="A1141" s="4">
        <v>919</v>
      </c>
      <c r="B1141" s="5">
        <v>41944</v>
      </c>
      <c r="C1141" t="s" s="3">
        <v>98</v>
      </c>
      <c r="D1141" t="s" s="3">
        <v>552</v>
      </c>
      <c r="E1141" s="25">
        <v>239607</v>
      </c>
      <c r="F1141" s="6">
        <f>E1141*0.19</f>
        <v>45525.33</v>
      </c>
      <c r="G1141" s="6">
        <f>E1141+F1141</f>
        <v>285132.33</v>
      </c>
      <c r="H1141" s="7">
        <f>IF(J1141=TRUE(),E1141,0)</f>
        <v>239607</v>
      </c>
      <c r="I1141" s="7">
        <f>IF(K1141=TRUE(),E1141,0)</f>
        <v>0</v>
      </c>
      <c r="J1141" t="b" s="4">
        <v>1</v>
      </c>
      <c r="K1141" t="b" s="4">
        <v>0</v>
      </c>
    </row>
    <row r="1142" ht="17" customHeight="1">
      <c r="A1142" s="4">
        <v>920</v>
      </c>
      <c r="B1142" s="5">
        <v>41944</v>
      </c>
      <c r="C1142" t="s" s="3">
        <v>556</v>
      </c>
      <c r="D1142" t="s" s="3">
        <v>557</v>
      </c>
      <c r="E1142" s="25">
        <v>389331</v>
      </c>
      <c r="F1142" s="6">
        <f>E1142*0.19</f>
        <v>73972.89</v>
      </c>
      <c r="G1142" s="6">
        <f>E1142+F1142</f>
        <v>463303.89</v>
      </c>
      <c r="H1142" s="7">
        <f>IF(J1142=TRUE(),E1142,0)</f>
        <v>0</v>
      </c>
      <c r="I1142" s="7">
        <f>IF(K1142=TRUE(),E1142,0)</f>
        <v>0</v>
      </c>
      <c r="J1142" t="b" s="4">
        <v>0</v>
      </c>
      <c r="K1142" t="b" s="4">
        <v>0</v>
      </c>
    </row>
    <row r="1143" ht="17" customHeight="1">
      <c r="A1143" s="4">
        <v>921</v>
      </c>
      <c r="B1143" s="5">
        <v>41944</v>
      </c>
      <c r="C1143" t="s" s="3">
        <v>312</v>
      </c>
      <c r="D1143" t="s" s="3">
        <v>558</v>
      </c>
      <c r="E1143" s="25">
        <v>79083</v>
      </c>
      <c r="F1143" s="6">
        <f>E1143*0.19</f>
        <v>15025.77</v>
      </c>
      <c r="G1143" s="6">
        <f>E1143+F1143</f>
        <v>94108.77</v>
      </c>
      <c r="H1143" s="7">
        <f>IF(J1143=TRUE(),E1143,0)</f>
        <v>79083</v>
      </c>
      <c r="I1143" s="7">
        <f>IF(K1143=TRUE(),E1143,0)</f>
        <v>0</v>
      </c>
      <c r="J1143" t="b" s="4">
        <v>1</v>
      </c>
      <c r="K1143" t="b" s="4">
        <v>0</v>
      </c>
    </row>
    <row r="1144" ht="17" customHeight="1">
      <c r="A1144" s="4">
        <v>922</v>
      </c>
      <c r="B1144" s="5">
        <v>41944</v>
      </c>
      <c r="C1144" t="s" s="3">
        <v>58</v>
      </c>
      <c r="D1144" t="s" s="3">
        <v>559</v>
      </c>
      <c r="E1144" s="25">
        <v>175199</v>
      </c>
      <c r="F1144" s="6">
        <f>E1144*0.19</f>
        <v>33287.81</v>
      </c>
      <c r="G1144" s="6">
        <f>E1144+F1144</f>
        <v>208486.81</v>
      </c>
      <c r="H1144" s="7">
        <f>IF(J1144=TRUE(),E1144,0)</f>
        <v>0</v>
      </c>
      <c r="I1144" s="7">
        <f>IF(K1144=TRUE(),E1144,0)</f>
        <v>0</v>
      </c>
      <c r="J1144" t="b" s="4">
        <v>0</v>
      </c>
      <c r="K1144" t="b" s="4">
        <v>0</v>
      </c>
    </row>
    <row r="1145" ht="17" customHeight="1">
      <c r="A1145" s="4">
        <v>923</v>
      </c>
      <c r="B1145" s="5">
        <v>41944</v>
      </c>
      <c r="C1145" t="s" s="3">
        <v>58</v>
      </c>
      <c r="D1145" t="s" s="3">
        <v>560</v>
      </c>
      <c r="E1145" s="25">
        <v>25000</v>
      </c>
      <c r="F1145" s="6">
        <f>E1145*0.19</f>
        <v>4750</v>
      </c>
      <c r="G1145" s="6">
        <f>E1145+F1145</f>
        <v>29750</v>
      </c>
      <c r="H1145" s="7">
        <f>IF(J1145=TRUE(),E1145,0)</f>
        <v>0</v>
      </c>
      <c r="I1145" s="7">
        <f>IF(K1145=TRUE(),E1145,0)</f>
        <v>0</v>
      </c>
      <c r="J1145" t="b" s="4">
        <v>0</v>
      </c>
      <c r="K1145" t="b" s="4">
        <v>0</v>
      </c>
    </row>
    <row r="1146" ht="17" customHeight="1">
      <c r="A1146" s="4">
        <v>924</v>
      </c>
      <c r="B1146" s="5">
        <v>41944</v>
      </c>
      <c r="C1146" t="s" s="3">
        <v>253</v>
      </c>
      <c r="D1146" t="s" s="3">
        <v>552</v>
      </c>
      <c r="E1146" s="25">
        <v>1825380</v>
      </c>
      <c r="F1146" s="6">
        <f>E1146*0.19</f>
        <v>346822.2</v>
      </c>
      <c r="G1146" s="6">
        <f>E1146+F1146</f>
        <v>2172202.2</v>
      </c>
      <c r="H1146" s="7">
        <f>IF(J1146=TRUE(),E1146,0)</f>
        <v>1825380</v>
      </c>
      <c r="I1146" s="7">
        <f>IF(K1146=TRUE(),E1146,0)</f>
        <v>0</v>
      </c>
      <c r="J1146" t="b" s="4">
        <v>1</v>
      </c>
      <c r="K1146" t="b" s="4">
        <v>0</v>
      </c>
    </row>
    <row r="1147" ht="17" customHeight="1">
      <c r="A1147" s="4">
        <v>925</v>
      </c>
      <c r="B1147" s="5">
        <v>41944</v>
      </c>
      <c r="C1147" t="s" s="3">
        <v>26</v>
      </c>
      <c r="D1147" t="s" s="3">
        <v>552</v>
      </c>
      <c r="E1147" s="25">
        <v>1524054</v>
      </c>
      <c r="F1147" s="6">
        <f>E1147*0.19</f>
        <v>289570.26</v>
      </c>
      <c r="G1147" s="6">
        <f>E1147+F1147</f>
        <v>1813624.26</v>
      </c>
      <c r="H1147" s="7">
        <f>IF(J1147=TRUE(),E1147,0)</f>
        <v>1524054</v>
      </c>
      <c r="I1147" s="7">
        <f>IF(K1147=TRUE(),E1147,0)</f>
        <v>0</v>
      </c>
      <c r="J1147" t="b" s="4">
        <v>1</v>
      </c>
      <c r="K1147" t="b" s="4">
        <v>0</v>
      </c>
    </row>
    <row r="1148" ht="17" customHeight="1">
      <c r="A1148" s="4">
        <v>926</v>
      </c>
      <c r="B1148" s="5">
        <v>41944</v>
      </c>
      <c r="C1148" t="s" s="3">
        <v>253</v>
      </c>
      <c r="D1148" t="s" s="3">
        <v>561</v>
      </c>
      <c r="E1148" s="25">
        <v>494688</v>
      </c>
      <c r="F1148" s="6">
        <f>E1148*0.19</f>
        <v>93990.72</v>
      </c>
      <c r="G1148" s="6">
        <f>E1148+F1148</f>
        <v>588678.72</v>
      </c>
      <c r="H1148" s="7">
        <f>IF(J1148=TRUE(),E1148,0)</f>
        <v>0</v>
      </c>
      <c r="I1148" s="7">
        <f>IF(K1148=TRUE(),E1148,0)</f>
        <v>0</v>
      </c>
      <c r="J1148" t="b" s="4">
        <v>0</v>
      </c>
      <c r="K1148" t="b" s="4">
        <v>0</v>
      </c>
    </row>
    <row r="1149" ht="17" customHeight="1">
      <c r="A1149" s="4">
        <v>927</v>
      </c>
      <c r="B1149" s="5">
        <v>41944</v>
      </c>
      <c r="C1149" t="s" s="3">
        <v>253</v>
      </c>
      <c r="D1149" t="s" s="3">
        <v>562</v>
      </c>
      <c r="E1149" s="25">
        <v>177500</v>
      </c>
      <c r="F1149" s="6">
        <f>E1149*0.19</f>
        <v>33725</v>
      </c>
      <c r="G1149" s="6">
        <f>E1149+F1149</f>
        <v>211225</v>
      </c>
      <c r="H1149" s="7">
        <f>IF(J1149=TRUE(),E1149,0)</f>
        <v>0</v>
      </c>
      <c r="I1149" s="7">
        <f>IF(K1149=TRUE(),E1149,0)</f>
        <v>0</v>
      </c>
      <c r="J1149" t="b" s="4">
        <v>0</v>
      </c>
      <c r="K1149" t="b" s="4">
        <v>0</v>
      </c>
    </row>
    <row r="1150" ht="17" customHeight="1">
      <c r="A1150" s="4">
        <v>928</v>
      </c>
      <c r="B1150" s="5">
        <v>41944</v>
      </c>
      <c r="C1150" t="s" s="3">
        <v>26</v>
      </c>
      <c r="D1150" t="s" s="3">
        <v>563</v>
      </c>
      <c r="E1150" s="25">
        <v>185000</v>
      </c>
      <c r="F1150" s="6">
        <f>E1150*0.19</f>
        <v>35150</v>
      </c>
      <c r="G1150" s="6">
        <f>E1150+F1150</f>
        <v>220150</v>
      </c>
      <c r="H1150" s="7">
        <f>IF(J1150=TRUE(),E1150,0)</f>
        <v>0</v>
      </c>
      <c r="I1150" s="7">
        <f>IF(K1150=TRUE(),E1150,0)</f>
        <v>0</v>
      </c>
      <c r="J1150" t="b" s="4">
        <v>0</v>
      </c>
      <c r="K1150" t="b" s="4">
        <v>0</v>
      </c>
    </row>
    <row r="1151" ht="17" customHeight="1">
      <c r="A1151" s="4">
        <v>929</v>
      </c>
      <c r="B1151" s="5">
        <v>41944</v>
      </c>
      <c r="C1151" t="s" s="3">
        <v>26</v>
      </c>
      <c r="D1151" t="s" s="3">
        <v>564</v>
      </c>
      <c r="E1151" s="25">
        <v>92500</v>
      </c>
      <c r="F1151" s="6">
        <f>E1151*0.19</f>
        <v>17575</v>
      </c>
      <c r="G1151" s="6">
        <f>E1151+F1151</f>
        <v>110075</v>
      </c>
      <c r="H1151" s="7">
        <f>IF(J1151=TRUE(),E1151,0)</f>
        <v>0</v>
      </c>
      <c r="I1151" s="7">
        <f>IF(K1151=TRUE(),E1151,0)</f>
        <v>0</v>
      </c>
      <c r="J1151" t="b" s="4">
        <v>0</v>
      </c>
      <c r="K1151" t="b" s="4">
        <v>0</v>
      </c>
    </row>
    <row r="1152" ht="17" customHeight="1">
      <c r="A1152" s="4">
        <v>930</v>
      </c>
      <c r="B1152" s="5">
        <v>41944</v>
      </c>
      <c r="C1152" t="s" s="3">
        <v>26</v>
      </c>
      <c r="D1152" t="s" s="3">
        <v>565</v>
      </c>
      <c r="E1152" s="25">
        <v>90000</v>
      </c>
      <c r="F1152" s="6">
        <f>E1152*0.19</f>
        <v>17100</v>
      </c>
      <c r="G1152" s="6">
        <f>E1152+F1152</f>
        <v>107100</v>
      </c>
      <c r="H1152" s="7">
        <f>IF(J1152=TRUE(),E1152,0)</f>
        <v>0</v>
      </c>
      <c r="I1152" s="7">
        <f>IF(K1152=TRUE(),E1152,0)</f>
        <v>0</v>
      </c>
      <c r="J1152" t="b" s="4">
        <v>0</v>
      </c>
      <c r="K1152" t="b" s="4">
        <v>0</v>
      </c>
    </row>
    <row r="1153" ht="17" customHeight="1">
      <c r="A1153" s="4">
        <v>931</v>
      </c>
      <c r="B1153" s="5">
        <v>41944</v>
      </c>
      <c r="C1153" t="s" s="3">
        <v>541</v>
      </c>
      <c r="D1153" t="s" s="3">
        <v>552</v>
      </c>
      <c r="E1153" s="25">
        <v>159739</v>
      </c>
      <c r="F1153" s="6">
        <f>E1153*0.19</f>
        <v>30350.41</v>
      </c>
      <c r="G1153" s="6">
        <f>E1153+F1153</f>
        <v>190089.41</v>
      </c>
      <c r="H1153" s="7">
        <f>IF(J1153=TRUE(),E1153,0)</f>
        <v>159739</v>
      </c>
      <c r="I1153" s="7">
        <f>IF(K1153=TRUE(),E1153,0)</f>
        <v>0</v>
      </c>
      <c r="J1153" t="b" s="4">
        <v>1</v>
      </c>
      <c r="K1153" t="b" s="4">
        <v>0</v>
      </c>
    </row>
    <row r="1154" ht="17" customHeight="1">
      <c r="A1154" s="4">
        <v>932</v>
      </c>
      <c r="B1154" s="5">
        <v>41944</v>
      </c>
      <c r="C1154" t="s" s="3">
        <v>487</v>
      </c>
      <c r="D1154" t="s" s="3">
        <v>552</v>
      </c>
      <c r="E1154" s="25">
        <v>1092685</v>
      </c>
      <c r="F1154" s="6">
        <f>E1154*0.19</f>
        <v>207610.15</v>
      </c>
      <c r="G1154" s="6">
        <f>E1154+F1154</f>
        <v>1300295.15</v>
      </c>
      <c r="H1154" s="7">
        <f>IF(J1154=TRUE(),E1154,0)</f>
        <v>1092685</v>
      </c>
      <c r="I1154" s="7">
        <f>IF(K1154=TRUE(),E1154,0)</f>
        <v>0</v>
      </c>
      <c r="J1154" t="b" s="4">
        <v>1</v>
      </c>
      <c r="K1154" t="b" s="4">
        <v>0</v>
      </c>
    </row>
    <row r="1155" ht="17" customHeight="1">
      <c r="A1155" s="4">
        <v>933</v>
      </c>
      <c r="B1155" s="5">
        <v>41944</v>
      </c>
      <c r="C1155" t="s" s="3">
        <v>487</v>
      </c>
      <c r="D1155" t="s" s="3">
        <v>566</v>
      </c>
      <c r="E1155" s="25">
        <v>476400</v>
      </c>
      <c r="F1155" s="6">
        <f>E1155*0.19</f>
        <v>90516</v>
      </c>
      <c r="G1155" s="6">
        <f>E1155+F1155</f>
        <v>566916</v>
      </c>
      <c r="H1155" s="7">
        <f>IF(J1155=TRUE(),E1155,0)</f>
        <v>0</v>
      </c>
      <c r="I1155" s="7">
        <f>IF(K1155=TRUE(),E1155,0)</f>
        <v>0</v>
      </c>
      <c r="J1155" t="b" s="4">
        <v>0</v>
      </c>
      <c r="K1155" t="b" s="4">
        <v>0</v>
      </c>
    </row>
    <row r="1156" ht="17" customHeight="1">
      <c r="A1156" t="s" s="3">
        <v>567</v>
      </c>
      <c r="B1156" s="5">
        <v>41944</v>
      </c>
      <c r="C1156" t="s" s="3">
        <v>357</v>
      </c>
      <c r="D1156" t="s" s="3">
        <v>552</v>
      </c>
      <c r="E1156" s="25">
        <v>1023781</v>
      </c>
      <c r="F1156" s="6">
        <f>E1156*0.19</f>
        <v>194518.39</v>
      </c>
      <c r="G1156" s="6">
        <f>E1156+F1156</f>
        <v>1218299.39</v>
      </c>
      <c r="H1156" s="7">
        <f>IF(J1156=TRUE(),E1156,0)</f>
        <v>1023781</v>
      </c>
      <c r="I1156" s="7">
        <f>IF(K1156=TRUE(),E1156,0)</f>
        <v>0</v>
      </c>
      <c r="J1156" t="b" s="4">
        <v>1</v>
      </c>
      <c r="K1156" t="b" s="4">
        <v>0</v>
      </c>
    </row>
    <row r="1157" ht="17" customHeight="1">
      <c r="A1157" t="s" s="3">
        <v>568</v>
      </c>
      <c r="B1157" s="5">
        <v>41944</v>
      </c>
      <c r="C1157" t="s" s="3">
        <v>22</v>
      </c>
      <c r="D1157" t="s" s="3">
        <v>552</v>
      </c>
      <c r="E1157" s="25">
        <v>505356</v>
      </c>
      <c r="F1157" s="6">
        <f>E1157*0.19</f>
        <v>96017.64</v>
      </c>
      <c r="G1157" s="6">
        <f>E1157+F1157</f>
        <v>601373.64</v>
      </c>
      <c r="H1157" s="7">
        <f>IF(J1157=TRUE(),E1157,0)</f>
        <v>505356</v>
      </c>
      <c r="I1157" s="7">
        <f>IF(K1157=TRUE(),E1157,0)</f>
        <v>0</v>
      </c>
      <c r="J1157" t="b" s="4">
        <v>1</v>
      </c>
      <c r="K1157" t="b" s="4">
        <v>0</v>
      </c>
    </row>
    <row r="1158" ht="17" customHeight="1">
      <c r="A1158" t="s" s="3">
        <v>569</v>
      </c>
      <c r="B1158" s="5">
        <v>41944</v>
      </c>
      <c r="C1158" t="s" s="3">
        <v>183</v>
      </c>
      <c r="D1158" t="s" s="3">
        <v>570</v>
      </c>
      <c r="E1158" s="25">
        <v>683469</v>
      </c>
      <c r="F1158" s="6">
        <f>E1158*0.19</f>
        <v>129859.11</v>
      </c>
      <c r="G1158" s="6">
        <f>E1158+F1158</f>
        <v>813328.11</v>
      </c>
      <c r="H1158" s="7">
        <f>IF(J1158=TRUE(),E1158,0)</f>
        <v>683469</v>
      </c>
      <c r="I1158" s="7">
        <f>IF(K1158=TRUE(),E1158,0)</f>
        <v>0</v>
      </c>
      <c r="J1158" t="b" s="4">
        <v>1</v>
      </c>
      <c r="K1158" t="b" s="4">
        <v>0</v>
      </c>
    </row>
    <row r="1159" ht="17" customHeight="1">
      <c r="A1159" t="s" s="3">
        <v>571</v>
      </c>
      <c r="B1159" s="5">
        <v>41944</v>
      </c>
      <c r="C1159" t="s" s="3">
        <v>572</v>
      </c>
      <c r="D1159" s="3"/>
      <c r="E1159" s="25"/>
      <c r="F1159" s="6">
        <f>E1159*0.19</f>
        <v>0</v>
      </c>
      <c r="G1159" s="6">
        <f>E1159+F1159</f>
        <v>0</v>
      </c>
      <c r="H1159" s="7">
        <f>IF(J1159=TRUE(),E1159,0)</f>
        <v>0</v>
      </c>
      <c r="I1159" s="7">
        <f>IF(K1159=TRUE(),E1159,0)</f>
        <v>0</v>
      </c>
      <c r="J1159" t="b" s="4">
        <v>0</v>
      </c>
      <c r="K1159" t="b" s="4">
        <v>0</v>
      </c>
    </row>
    <row r="1160" ht="17" customHeight="1">
      <c r="A1160" t="s" s="3">
        <v>573</v>
      </c>
      <c r="B1160" s="5">
        <v>41944</v>
      </c>
      <c r="C1160" t="s" s="3">
        <v>49</v>
      </c>
      <c r="D1160" t="s" s="3">
        <v>574</v>
      </c>
      <c r="E1160" s="25">
        <v>1377731</v>
      </c>
      <c r="F1160" s="6">
        <f>E1160*0.19</f>
        <v>261768.89</v>
      </c>
      <c r="G1160" s="6">
        <f>E1160+F1160</f>
        <v>1639499.89</v>
      </c>
      <c r="H1160" s="7">
        <f>IF(J1160=TRUE(),E1160,0)</f>
        <v>0</v>
      </c>
      <c r="I1160" s="7">
        <f>IF(K1160=TRUE(),E1160,0)</f>
        <v>0</v>
      </c>
      <c r="J1160" t="b" s="4">
        <v>0</v>
      </c>
      <c r="K1160" t="b" s="4">
        <v>0</v>
      </c>
    </row>
    <row r="1161" ht="17" customHeight="1">
      <c r="A1161" t="s" s="3">
        <v>575</v>
      </c>
      <c r="B1161" s="5">
        <v>41944</v>
      </c>
      <c r="C1161" t="s" s="3">
        <v>40</v>
      </c>
      <c r="D1161" t="s" s="3">
        <v>180</v>
      </c>
      <c r="E1161" s="25">
        <v>158000</v>
      </c>
      <c r="F1161" s="6">
        <f>E1161*0.19</f>
        <v>30020</v>
      </c>
      <c r="G1161" s="6">
        <f>E1161+F1161</f>
        <v>188020</v>
      </c>
      <c r="H1161" s="7">
        <f>IF(J1161=TRUE(),E1161,0)</f>
        <v>158000</v>
      </c>
      <c r="I1161" s="7">
        <f>IF(K1161=TRUE(),E1161,0)</f>
        <v>0</v>
      </c>
      <c r="J1161" t="b" s="4">
        <v>1</v>
      </c>
      <c r="K1161" t="b" s="4">
        <v>0</v>
      </c>
    </row>
    <row r="1162" ht="17" customHeight="1">
      <c r="A1162" t="s" s="3">
        <v>576</v>
      </c>
      <c r="B1162" s="5">
        <v>41944</v>
      </c>
      <c r="C1162" t="s" s="3">
        <v>40</v>
      </c>
      <c r="D1162" t="s" s="3">
        <v>197</v>
      </c>
      <c r="E1162" s="25">
        <v>158000</v>
      </c>
      <c r="F1162" s="6">
        <f>E1162*0.19</f>
        <v>30020</v>
      </c>
      <c r="G1162" s="6">
        <f>E1162+F1162</f>
        <v>188020</v>
      </c>
      <c r="H1162" s="7">
        <f>IF(J1162=TRUE(),E1162,0)</f>
        <v>158000</v>
      </c>
      <c r="I1162" s="7">
        <f>IF(K1162=TRUE(),E1162,0)</f>
        <v>0</v>
      </c>
      <c r="J1162" t="b" s="4">
        <v>1</v>
      </c>
      <c r="K1162" t="b" s="4">
        <v>0</v>
      </c>
    </row>
    <row r="1163" ht="17" customHeight="1">
      <c r="A1163" t="s" s="3">
        <v>577</v>
      </c>
      <c r="B1163" s="5">
        <v>41944</v>
      </c>
      <c r="C1163" t="s" s="3">
        <v>40</v>
      </c>
      <c r="D1163" t="s" s="3">
        <v>211</v>
      </c>
      <c r="E1163" s="25">
        <v>158000</v>
      </c>
      <c r="F1163" s="6">
        <f>E1163*0.19</f>
        <v>30020</v>
      </c>
      <c r="G1163" s="6">
        <f>E1163+F1163</f>
        <v>188020</v>
      </c>
      <c r="H1163" s="7">
        <f>IF(J1163=TRUE(),E1163,0)</f>
        <v>158000</v>
      </c>
      <c r="I1163" s="7">
        <f>IF(K1163=TRUE(),E1163,0)</f>
        <v>0</v>
      </c>
      <c r="J1163" t="b" s="4">
        <v>1</v>
      </c>
      <c r="K1163" t="b" s="4">
        <v>0</v>
      </c>
    </row>
    <row r="1164" ht="17" customHeight="1">
      <c r="A1164" t="s" s="3">
        <v>578</v>
      </c>
      <c r="B1164" s="5">
        <v>41944</v>
      </c>
      <c r="C1164" t="s" s="3">
        <v>42</v>
      </c>
      <c r="D1164" t="s" s="3">
        <v>180</v>
      </c>
      <c r="E1164" s="25">
        <f>24104.97*15.38</f>
        <v>370734.4386000001</v>
      </c>
      <c r="F1164" s="6">
        <f>E1164*0.19</f>
        <v>70439.543334000016</v>
      </c>
      <c r="G1164" s="6">
        <f>E1164+F1164</f>
        <v>441173.981934</v>
      </c>
      <c r="H1164" s="7">
        <f>IF(J1164=TRUE(),E1164,0)</f>
        <v>370734.4386000001</v>
      </c>
      <c r="I1164" s="7">
        <f>IF(K1164=TRUE(),E1164,0)</f>
        <v>0</v>
      </c>
      <c r="J1164" t="b" s="4">
        <v>1</v>
      </c>
      <c r="K1164" t="b" s="4">
        <v>0</v>
      </c>
    </row>
    <row r="1165" ht="17" customHeight="1">
      <c r="A1165" t="s" s="3">
        <v>579</v>
      </c>
      <c r="B1165" s="5">
        <v>41944</v>
      </c>
      <c r="C1165" t="s" s="3">
        <v>42</v>
      </c>
      <c r="D1165" t="s" s="3">
        <v>197</v>
      </c>
      <c r="E1165" s="25">
        <f>24170.44*15.38</f>
        <v>371741.3672</v>
      </c>
      <c r="F1165" s="6">
        <f>E1165*0.19</f>
        <v>70630.859767999995</v>
      </c>
      <c r="G1165" s="6">
        <f>E1165+F1165</f>
        <v>442372.2269679999</v>
      </c>
      <c r="H1165" s="7">
        <f>IF(J1165=TRUE(),E1165,0)</f>
        <v>371741.3672</v>
      </c>
      <c r="I1165" s="7">
        <f>IF(K1165=TRUE(),E1165,0)</f>
        <v>0</v>
      </c>
      <c r="J1165" t="b" s="4">
        <v>1</v>
      </c>
      <c r="K1165" t="b" s="4">
        <v>0</v>
      </c>
    </row>
    <row r="1166" ht="17" customHeight="1">
      <c r="A1166" t="s" s="3">
        <v>580</v>
      </c>
      <c r="B1166" s="5">
        <v>41944</v>
      </c>
      <c r="C1166" t="s" s="3">
        <v>42</v>
      </c>
      <c r="D1166" t="s" s="3">
        <v>211</v>
      </c>
      <c r="E1166" s="25">
        <f>24333.18*15.38</f>
        <v>374244.3084</v>
      </c>
      <c r="F1166" s="6">
        <f>E1166*0.19</f>
        <v>71106.418596</v>
      </c>
      <c r="G1166" s="6">
        <f>E1166+F1166</f>
        <v>445350.726996</v>
      </c>
      <c r="H1166" s="7">
        <f>IF(J1166=TRUE(),E1166,0)</f>
        <v>374244.3084</v>
      </c>
      <c r="I1166" s="7">
        <f>IF(K1166=TRUE(),E1166,0)</f>
        <v>0</v>
      </c>
      <c r="J1166" t="b" s="4">
        <v>1</v>
      </c>
      <c r="K1166" t="b" s="4">
        <v>0</v>
      </c>
    </row>
    <row r="1167" ht="17" customHeight="1">
      <c r="A1167" t="s" s="3">
        <v>581</v>
      </c>
      <c r="B1167" s="5">
        <v>41944</v>
      </c>
      <c r="C1167" t="s" s="3">
        <v>60</v>
      </c>
      <c r="D1167" t="s" s="3">
        <v>180</v>
      </c>
      <c r="E1167" s="25">
        <f>24104.97*3.04</f>
        <v>73279.1088</v>
      </c>
      <c r="F1167" s="6">
        <f>E1167*0.19</f>
        <v>13923.030672</v>
      </c>
      <c r="G1167" s="6">
        <f>E1167+F1167</f>
        <v>87202.139472000010</v>
      </c>
      <c r="H1167" s="7">
        <f>IF(J1167=TRUE(),E1167,0)</f>
        <v>73279.1088</v>
      </c>
      <c r="I1167" s="7">
        <f>IF(K1167=TRUE(),E1167,0)</f>
        <v>0</v>
      </c>
      <c r="J1167" t="b" s="4">
        <v>1</v>
      </c>
      <c r="K1167" t="b" s="4">
        <v>0</v>
      </c>
    </row>
    <row r="1168" ht="17" customHeight="1">
      <c r="A1168" t="s" s="3">
        <v>582</v>
      </c>
      <c r="B1168" s="5">
        <v>41944</v>
      </c>
      <c r="C1168" t="s" s="3">
        <v>60</v>
      </c>
      <c r="D1168" t="s" s="3">
        <v>197</v>
      </c>
      <c r="E1168" s="25">
        <f>24170.44*3.04</f>
        <v>73478.1376</v>
      </c>
      <c r="F1168" s="6">
        <f>E1168*0.19</f>
        <v>13960.846144</v>
      </c>
      <c r="G1168" s="6">
        <f>E1168+F1168</f>
        <v>87438.983744</v>
      </c>
      <c r="H1168" s="7">
        <f>IF(J1168=TRUE(),E1168,0)</f>
        <v>73478.1376</v>
      </c>
      <c r="I1168" s="7">
        <f>IF(K1168=TRUE(),E1168,0)</f>
        <v>0</v>
      </c>
      <c r="J1168" t="b" s="4">
        <v>1</v>
      </c>
      <c r="K1168" t="b" s="4">
        <v>0</v>
      </c>
    </row>
    <row r="1169" ht="17" customHeight="1">
      <c r="A1169" t="s" s="3">
        <v>583</v>
      </c>
      <c r="B1169" s="5">
        <v>41944</v>
      </c>
      <c r="C1169" t="s" s="3">
        <v>60</v>
      </c>
      <c r="D1169" t="s" s="3">
        <v>211</v>
      </c>
      <c r="E1169" s="25">
        <f>24333.18*3.04</f>
        <v>73972.867200000008</v>
      </c>
      <c r="F1169" s="6">
        <f>E1169*0.19</f>
        <v>14054.844768</v>
      </c>
      <c r="G1169" s="6">
        <f>E1169+F1169</f>
        <v>88027.711968</v>
      </c>
      <c r="H1169" s="7">
        <f>IF(J1169=TRUE(),E1169,0)</f>
        <v>73972.867200000008</v>
      </c>
      <c r="I1169" s="7">
        <f>IF(K1169=TRUE(),E1169,0)</f>
        <v>0</v>
      </c>
      <c r="J1169" t="b" s="4">
        <v>1</v>
      </c>
      <c r="K1169" t="b" s="4">
        <v>0</v>
      </c>
    </row>
    <row r="1170" ht="17" customHeight="1">
      <c r="A1170" t="s" s="3">
        <v>584</v>
      </c>
      <c r="B1170" s="5">
        <v>41944</v>
      </c>
      <c r="C1170" t="s" s="3">
        <v>34</v>
      </c>
      <c r="D1170" t="s" s="3">
        <v>180</v>
      </c>
      <c r="E1170" s="25">
        <f>24104.97*3.9</f>
        <v>94009.383</v>
      </c>
      <c r="F1170" s="6">
        <f>E1170*0.19</f>
        <v>17861.78277</v>
      </c>
      <c r="G1170" s="6">
        <f>E1170+F1170</f>
        <v>111871.16577</v>
      </c>
      <c r="H1170" s="7">
        <f>IF(J1170=TRUE(),E1170,0)</f>
        <v>94009.383</v>
      </c>
      <c r="I1170" s="7">
        <f>IF(K1170=TRUE(),E1170,0)</f>
        <v>0</v>
      </c>
      <c r="J1170" t="b" s="4">
        <v>1</v>
      </c>
      <c r="K1170" t="b" s="4">
        <v>0</v>
      </c>
    </row>
    <row r="1171" ht="17" customHeight="1">
      <c r="A1171" t="s" s="3">
        <v>585</v>
      </c>
      <c r="B1171" s="5">
        <v>41944</v>
      </c>
      <c r="C1171" t="s" s="3">
        <v>34</v>
      </c>
      <c r="D1171" t="s" s="3">
        <v>197</v>
      </c>
      <c r="E1171" s="25">
        <f>24170.44*3.9</f>
        <v>94264.715999999986</v>
      </c>
      <c r="F1171" s="6">
        <f>E1171*0.19</f>
        <v>17910.29604</v>
      </c>
      <c r="G1171" s="6">
        <f>E1171+F1171</f>
        <v>112175.01204</v>
      </c>
      <c r="H1171" s="7">
        <f>IF(J1171=TRUE(),E1171,0)</f>
        <v>94264.715999999986</v>
      </c>
      <c r="I1171" s="7">
        <f>IF(K1171=TRUE(),E1171,0)</f>
        <v>0</v>
      </c>
      <c r="J1171" t="b" s="4">
        <v>1</v>
      </c>
      <c r="K1171" t="b" s="4">
        <v>0</v>
      </c>
    </row>
    <row r="1172" ht="17" customHeight="1">
      <c r="A1172" t="s" s="3">
        <v>586</v>
      </c>
      <c r="B1172" s="5">
        <v>41944</v>
      </c>
      <c r="C1172" t="s" s="3">
        <v>34</v>
      </c>
      <c r="D1172" t="s" s="3">
        <v>211</v>
      </c>
      <c r="E1172" s="25">
        <f>24333.18*3.9</f>
        <v>94899.402</v>
      </c>
      <c r="F1172" s="6">
        <f>E1172*0.19</f>
        <v>18030.88638</v>
      </c>
      <c r="G1172" s="6">
        <f>E1172+F1172</f>
        <v>112930.28838</v>
      </c>
      <c r="H1172" s="7">
        <f>IF(J1172=TRUE(),E1172,0)</f>
        <v>94899.402</v>
      </c>
      <c r="I1172" s="7">
        <f>IF(K1172=TRUE(),E1172,0)</f>
        <v>0</v>
      </c>
      <c r="J1172" t="b" s="4">
        <v>1</v>
      </c>
      <c r="K1172" t="b" s="4">
        <v>0</v>
      </c>
    </row>
    <row r="1173" ht="17" customHeight="1">
      <c r="A1173" t="s" s="3">
        <v>587</v>
      </c>
      <c r="B1173" s="5">
        <v>41944</v>
      </c>
      <c r="C1173" t="s" s="3">
        <v>384</v>
      </c>
      <c r="D1173" t="s" s="3">
        <v>180</v>
      </c>
      <c r="E1173" s="25">
        <f>24104.97*1.75</f>
        <v>42183.6975</v>
      </c>
      <c r="F1173" s="6">
        <f>E1173*0.19</f>
        <v>8014.902525</v>
      </c>
      <c r="G1173" s="6">
        <f>E1173+F1173</f>
        <v>50198.600025</v>
      </c>
      <c r="H1173" s="7">
        <f>IF(J1173=TRUE(),E1173,0)</f>
        <v>42183.6975</v>
      </c>
      <c r="I1173" s="7">
        <f>IF(K1173=TRUE(),E1173,0)</f>
        <v>0</v>
      </c>
      <c r="J1173" t="b" s="4">
        <v>1</v>
      </c>
      <c r="K1173" t="b" s="4">
        <v>0</v>
      </c>
    </row>
    <row r="1174" ht="17" customHeight="1">
      <c r="A1174" t="s" s="3">
        <v>588</v>
      </c>
      <c r="B1174" s="5">
        <v>41944</v>
      </c>
      <c r="C1174" t="s" s="3">
        <v>384</v>
      </c>
      <c r="D1174" t="s" s="3">
        <v>197</v>
      </c>
      <c r="E1174" s="25">
        <f>24170.44*1.75</f>
        <v>42298.27</v>
      </c>
      <c r="F1174" s="6">
        <f>E1174*0.19</f>
        <v>8036.671299999999</v>
      </c>
      <c r="G1174" s="6">
        <f>E1174+F1174</f>
        <v>50334.9413</v>
      </c>
      <c r="H1174" s="7">
        <f>IF(J1174=TRUE(),E1174,0)</f>
        <v>42298.27</v>
      </c>
      <c r="I1174" s="7">
        <f>IF(K1174=TRUE(),E1174,0)</f>
        <v>0</v>
      </c>
      <c r="J1174" t="b" s="4">
        <v>1</v>
      </c>
      <c r="K1174" t="b" s="4">
        <v>0</v>
      </c>
    </row>
    <row r="1175" ht="17" customHeight="1">
      <c r="A1175" t="s" s="3">
        <v>589</v>
      </c>
      <c r="B1175" s="5">
        <v>41944</v>
      </c>
      <c r="C1175" t="s" s="3">
        <v>384</v>
      </c>
      <c r="D1175" t="s" s="3">
        <v>211</v>
      </c>
      <c r="E1175" s="25">
        <f>24333.18*1.75</f>
        <v>42583.065</v>
      </c>
      <c r="F1175" s="6">
        <f>E1175*0.19</f>
        <v>8090.78235</v>
      </c>
      <c r="G1175" s="6">
        <f>E1175+F1175</f>
        <v>50673.84735</v>
      </c>
      <c r="H1175" s="7">
        <f>IF(J1175=TRUE(),E1175,0)</f>
        <v>42583.065</v>
      </c>
      <c r="I1175" s="7">
        <f>IF(K1175=TRUE(),E1175,0)</f>
        <v>0</v>
      </c>
      <c r="J1175" t="b" s="4">
        <v>1</v>
      </c>
      <c r="K1175" t="b" s="4">
        <v>0</v>
      </c>
    </row>
    <row r="1176" ht="17" customHeight="1">
      <c r="A1176" t="s" s="3">
        <v>590</v>
      </c>
      <c r="B1176" s="5">
        <v>41944</v>
      </c>
      <c r="C1176" t="s" s="3">
        <v>591</v>
      </c>
      <c r="D1176" t="s" s="3">
        <v>592</v>
      </c>
      <c r="E1176" s="25">
        <v>1043000</v>
      </c>
      <c r="F1176" s="6">
        <f>E1176*0.19</f>
        <v>198170</v>
      </c>
      <c r="G1176" s="6">
        <f>E1176+F1176</f>
        <v>1241170</v>
      </c>
      <c r="H1176" s="7">
        <f>IF(J1176=TRUE(),E1176,0)</f>
        <v>0</v>
      </c>
      <c r="I1176" s="7">
        <f>IF(K1176=TRUE(),E1176,0)</f>
        <v>0</v>
      </c>
      <c r="J1176" t="b" s="4">
        <v>0</v>
      </c>
      <c r="K1176" t="b" s="4">
        <v>0</v>
      </c>
    </row>
    <row r="1177" ht="17.5" customHeight="1">
      <c r="A1177" t="s" s="10">
        <v>593</v>
      </c>
      <c r="B1177" s="5">
        <v>41944</v>
      </c>
      <c r="C1177" t="s" s="10">
        <v>42</v>
      </c>
      <c r="D1177" t="s" s="10">
        <v>594</v>
      </c>
      <c r="E1177" s="26">
        <v>1266200</v>
      </c>
      <c r="F1177" s="11">
        <f>E1177*0.19</f>
        <v>240578</v>
      </c>
      <c r="G1177" s="11">
        <f>E1177+F1177</f>
        <v>1506778</v>
      </c>
      <c r="H1177" s="12">
        <f>IF(J1177=TRUE(),E1177,0)</f>
        <v>0</v>
      </c>
      <c r="I1177" s="12">
        <f>IF(K1177=TRUE(),E1177,0)</f>
        <v>0</v>
      </c>
      <c r="J1177" t="b" s="9">
        <v>0</v>
      </c>
      <c r="K1177" t="b" s="9">
        <v>0</v>
      </c>
    </row>
    <row r="1178" ht="18" customHeight="1">
      <c r="A1178" s="13">
        <v>46</v>
      </c>
      <c r="B1178" t="s" s="3">
        <v>595</v>
      </c>
      <c r="C1178" t="s" s="14">
        <v>7</v>
      </c>
      <c r="D1178" s="14"/>
      <c r="E1178" s="15">
        <f>SUM(E1132:E1177)</f>
        <v>17690282.7613</v>
      </c>
      <c r="F1178" s="15">
        <f>SUM(F1132:F1177)</f>
        <v>3361153.724646999</v>
      </c>
      <c r="G1178" s="16">
        <f>SUM(G1132:G1177)</f>
        <v>21051436.48594701</v>
      </c>
      <c r="H1178" s="17">
        <f>SUM(H1132:H1177)</f>
        <v>10856108.7613</v>
      </c>
      <c r="I1178" s="17"/>
      <c r="J1178" s="18">
        <f>COUNTIF(J1132:J1177,TRUE())</f>
        <v>28</v>
      </c>
      <c r="K1178" s="19"/>
    </row>
    <row r="1179" ht="17.5" customHeight="1">
      <c r="A1179" s="20"/>
      <c r="B1179" s="8"/>
      <c r="C1179" s="20"/>
      <c r="D1179" s="21"/>
      <c r="E1179" s="24"/>
      <c r="F1179" s="24"/>
      <c r="G1179" s="24"/>
      <c r="H1179" s="22"/>
      <c r="I1179" s="22"/>
      <c r="J1179" s="20"/>
      <c r="K1179" s="20"/>
    </row>
    <row r="1180" ht="17" customHeight="1">
      <c r="A1180" t="s" s="3">
        <v>1</v>
      </c>
      <c r="B1180" t="s" s="3">
        <v>2</v>
      </c>
      <c r="C1180" t="s" s="3">
        <v>3</v>
      </c>
      <c r="D1180" t="s" s="3">
        <v>4</v>
      </c>
      <c r="E1180" t="s" s="3">
        <v>5</v>
      </c>
      <c r="F1180" t="s" s="3">
        <v>6</v>
      </c>
      <c r="G1180" t="s" s="3">
        <v>7</v>
      </c>
      <c r="H1180" s="7"/>
      <c r="I1180" s="7"/>
      <c r="J1180" s="8"/>
      <c r="K1180" s="8"/>
    </row>
    <row r="1181" ht="17" customHeight="1">
      <c r="A1181" t="s" s="3">
        <v>596</v>
      </c>
      <c r="B1181" s="5">
        <v>41990</v>
      </c>
      <c r="C1181" t="s" s="3">
        <v>98</v>
      </c>
      <c r="D1181" t="s" s="3">
        <v>597</v>
      </c>
      <c r="E1181" s="25">
        <v>-594000</v>
      </c>
      <c r="F1181" s="6">
        <f>E1181*0.19</f>
        <v>-112860</v>
      </c>
      <c r="G1181" s="6">
        <f>E1181+F1181</f>
        <v>-706860</v>
      </c>
      <c r="H1181" s="7">
        <f>IF(J1181=TRUE(),E1181,0)</f>
        <v>-594000</v>
      </c>
      <c r="I1181" s="7">
        <f>IF(K1181=TRUE(),E1181,0)</f>
        <v>0</v>
      </c>
      <c r="J1181" t="b" s="4">
        <v>1</v>
      </c>
      <c r="K1181" t="b" s="4">
        <v>0</v>
      </c>
    </row>
    <row r="1182" ht="17" customHeight="1">
      <c r="A1182" t="s" s="3">
        <v>598</v>
      </c>
      <c r="B1182" s="5">
        <v>41990</v>
      </c>
      <c r="C1182" t="s" s="3">
        <v>98</v>
      </c>
      <c r="D1182" t="s" s="3">
        <v>599</v>
      </c>
      <c r="E1182" s="25">
        <v>-528000</v>
      </c>
      <c r="F1182" s="6">
        <f>E1182*0.19</f>
        <v>-100320</v>
      </c>
      <c r="G1182" s="6">
        <f>E1182+F1182</f>
        <v>-628320</v>
      </c>
      <c r="H1182" s="7">
        <f>IF(J1182=TRUE(),E1182,0)</f>
        <v>-528000</v>
      </c>
      <c r="I1182" s="7">
        <f>IF(K1182=TRUE(),E1182,0)</f>
        <v>0</v>
      </c>
      <c r="J1182" t="b" s="4">
        <v>1</v>
      </c>
      <c r="K1182" t="b" s="4">
        <v>0</v>
      </c>
    </row>
    <row r="1183" ht="17" customHeight="1">
      <c r="A1183" t="s" s="3">
        <v>600</v>
      </c>
      <c r="B1183" s="5">
        <v>41990</v>
      </c>
      <c r="C1183" t="s" s="3">
        <v>98</v>
      </c>
      <c r="D1183" t="s" s="3">
        <v>601</v>
      </c>
      <c r="E1183" s="25">
        <v>-297000</v>
      </c>
      <c r="F1183" s="6">
        <f>E1183*0.19</f>
        <v>-56430</v>
      </c>
      <c r="G1183" s="6">
        <f>E1183+F1183</f>
        <v>-353430</v>
      </c>
      <c r="H1183" s="7">
        <f>IF(J1183=TRUE(),E1183,0)</f>
        <v>-297000</v>
      </c>
      <c r="I1183" s="7">
        <f>IF(K1183=TRUE(),E1183,0)</f>
        <v>0</v>
      </c>
      <c r="J1183" t="b" s="4">
        <v>1</v>
      </c>
      <c r="K1183" t="b" s="4">
        <v>0</v>
      </c>
    </row>
    <row r="1184" ht="17" customHeight="1">
      <c r="A1184" t="s" s="3">
        <v>602</v>
      </c>
      <c r="B1184" s="5">
        <v>41990</v>
      </c>
      <c r="C1184" t="s" s="3">
        <v>98</v>
      </c>
      <c r="D1184" t="s" s="3">
        <v>603</v>
      </c>
      <c r="E1184" s="25">
        <v>-462000</v>
      </c>
      <c r="F1184" s="6">
        <f>E1184*0.19</f>
        <v>-87780</v>
      </c>
      <c r="G1184" s="6">
        <f>E1184+F1184</f>
        <v>-549780</v>
      </c>
      <c r="H1184" s="7">
        <f>IF(J1184=TRUE(),E1184,0)</f>
        <v>-462000</v>
      </c>
      <c r="I1184" s="7">
        <f>IF(K1184=TRUE(),E1184,0)</f>
        <v>0</v>
      </c>
      <c r="J1184" t="b" s="4">
        <v>1</v>
      </c>
      <c r="K1184" t="b" s="4">
        <v>0</v>
      </c>
    </row>
    <row r="1185" ht="17" customHeight="1">
      <c r="A1185" t="s" s="3">
        <v>604</v>
      </c>
      <c r="B1185" s="5">
        <v>41990</v>
      </c>
      <c r="C1185" t="s" s="3">
        <v>98</v>
      </c>
      <c r="D1185" t="s" s="3">
        <v>605</v>
      </c>
      <c r="E1185" s="25">
        <v>-297000</v>
      </c>
      <c r="F1185" s="6">
        <f>E1185*0.19</f>
        <v>-56430</v>
      </c>
      <c r="G1185" s="6">
        <f>E1185+F1185</f>
        <v>-353430</v>
      </c>
      <c r="H1185" s="7">
        <f>IF(J1185=TRUE(),E1185,0)</f>
        <v>-297000</v>
      </c>
      <c r="I1185" s="7">
        <f>IF(K1185=TRUE(),E1185,0)</f>
        <v>0</v>
      </c>
      <c r="J1185" t="b" s="4">
        <v>1</v>
      </c>
      <c r="K1185" t="b" s="4">
        <v>0</v>
      </c>
    </row>
    <row r="1186" ht="17" customHeight="1">
      <c r="A1186" s="4">
        <v>934</v>
      </c>
      <c r="B1186" s="5">
        <v>41990</v>
      </c>
      <c r="C1186" t="s" s="3">
        <v>98</v>
      </c>
      <c r="D1186" t="s" s="3">
        <v>606</v>
      </c>
      <c r="E1186" s="25">
        <v>2178000</v>
      </c>
      <c r="F1186" s="6">
        <f>E1186*0.19</f>
        <v>413820</v>
      </c>
      <c r="G1186" s="6">
        <f>E1186+F1186</f>
        <v>2591820</v>
      </c>
      <c r="H1186" s="7">
        <f>IF(J1186=TRUE(),E1186,0)</f>
        <v>2178000</v>
      </c>
      <c r="I1186" s="7">
        <f>IF(K1186=TRUE(),E1186,0)</f>
        <v>0</v>
      </c>
      <c r="J1186" t="b" s="4">
        <v>1</v>
      </c>
      <c r="K1186" t="b" s="4">
        <v>0</v>
      </c>
    </row>
    <row r="1187" ht="17" customHeight="1">
      <c r="A1187" s="4">
        <v>935</v>
      </c>
      <c r="B1187" s="5">
        <v>41990</v>
      </c>
      <c r="C1187" t="s" s="3">
        <v>98</v>
      </c>
      <c r="D1187" t="s" s="3">
        <v>607</v>
      </c>
      <c r="E1187" s="25">
        <v>1188000</v>
      </c>
      <c r="F1187" s="6">
        <f>E1187*0.19</f>
        <v>225720</v>
      </c>
      <c r="G1187" s="6">
        <f>E1187+F1187</f>
        <v>1413720</v>
      </c>
      <c r="H1187" s="7">
        <f>IF(J1187=TRUE(),E1187,0)</f>
        <v>1188000</v>
      </c>
      <c r="I1187" s="7">
        <f>IF(K1187=TRUE(),E1187,0)</f>
        <v>0</v>
      </c>
      <c r="J1187" t="b" s="4">
        <v>1</v>
      </c>
      <c r="K1187" t="b" s="4">
        <v>0</v>
      </c>
    </row>
    <row r="1188" ht="17" customHeight="1">
      <c r="A1188" s="4">
        <v>936</v>
      </c>
      <c r="B1188" s="5">
        <v>41990</v>
      </c>
      <c r="C1188" t="s" s="3">
        <v>98</v>
      </c>
      <c r="D1188" t="s" s="3">
        <v>608</v>
      </c>
      <c r="E1188" s="25">
        <v>1056000</v>
      </c>
      <c r="F1188" s="6">
        <f>E1188*0.19</f>
        <v>200640</v>
      </c>
      <c r="G1188" s="6">
        <f>E1188+F1188</f>
        <v>1256640</v>
      </c>
      <c r="H1188" s="7">
        <f>IF(J1188=TRUE(),E1188,0)</f>
        <v>1056000</v>
      </c>
      <c r="I1188" s="7">
        <f>IF(K1188=TRUE(),E1188,0)</f>
        <v>0</v>
      </c>
      <c r="J1188" t="b" s="4">
        <v>1</v>
      </c>
      <c r="K1188" t="b" s="4">
        <v>0</v>
      </c>
    </row>
    <row r="1189" ht="17" customHeight="1">
      <c r="A1189" s="4">
        <v>937</v>
      </c>
      <c r="B1189" s="5">
        <v>41974</v>
      </c>
      <c r="C1189" t="s" s="3">
        <v>420</v>
      </c>
      <c r="D1189" t="s" s="3">
        <v>609</v>
      </c>
      <c r="E1189" s="25">
        <v>3304083</v>
      </c>
      <c r="F1189" s="6">
        <f>E1189*0.19</f>
        <v>627775.77</v>
      </c>
      <c r="G1189" s="6">
        <f>E1189+F1189</f>
        <v>3931858.77</v>
      </c>
      <c r="H1189" s="7">
        <f>IF(J1189=TRUE(),E1189,0)</f>
        <v>3304083</v>
      </c>
      <c r="I1189" s="7">
        <f>IF(K1189=TRUE(),E1189,0)</f>
        <v>0</v>
      </c>
      <c r="J1189" t="b" s="4">
        <v>1</v>
      </c>
      <c r="K1189" t="b" s="4">
        <v>0</v>
      </c>
    </row>
    <row r="1190" ht="17" customHeight="1">
      <c r="A1190" s="4">
        <v>938</v>
      </c>
      <c r="B1190" s="5">
        <v>41974</v>
      </c>
      <c r="C1190" t="s" s="3">
        <v>40</v>
      </c>
      <c r="D1190" t="s" s="3">
        <v>23</v>
      </c>
      <c r="E1190" s="25">
        <v>158000</v>
      </c>
      <c r="F1190" s="6">
        <f>E1190*0.19</f>
        <v>30020</v>
      </c>
      <c r="G1190" s="6">
        <f>E1190+F1190</f>
        <v>188020</v>
      </c>
      <c r="H1190" s="7">
        <f>IF(J1190=TRUE(),E1190,0)</f>
        <v>158000</v>
      </c>
      <c r="I1190" s="7">
        <f>IF(K1190=TRUE(),E1190,0)</f>
        <v>0</v>
      </c>
      <c r="J1190" t="b" s="4">
        <v>1</v>
      </c>
      <c r="K1190" t="b" s="4">
        <v>0</v>
      </c>
    </row>
    <row r="1191" ht="17" customHeight="1">
      <c r="A1191" s="4">
        <v>939</v>
      </c>
      <c r="B1191" s="5">
        <v>41974</v>
      </c>
      <c r="C1191" t="s" s="3">
        <v>22</v>
      </c>
      <c r="D1191" t="s" s="3">
        <v>23</v>
      </c>
      <c r="E1191" s="25">
        <v>170950</v>
      </c>
      <c r="F1191" s="6">
        <f>E1191*0.19</f>
        <v>32480.5</v>
      </c>
      <c r="G1191" s="6">
        <f>E1191+F1191</f>
        <v>203430.5</v>
      </c>
      <c r="H1191" s="7">
        <f>IF(J1191=TRUE(),E1191,0)</f>
        <v>170950</v>
      </c>
      <c r="I1191" s="7">
        <f>IF(K1191=TRUE(),E1191,0)</f>
        <v>0</v>
      </c>
      <c r="J1191" t="b" s="4">
        <v>1</v>
      </c>
      <c r="K1191" t="b" s="4">
        <v>0</v>
      </c>
    </row>
    <row r="1192" ht="17" customHeight="1">
      <c r="A1192" s="4">
        <v>940</v>
      </c>
      <c r="B1192" s="5">
        <v>41974</v>
      </c>
      <c r="C1192" t="s" s="3">
        <v>555</v>
      </c>
      <c r="D1192" t="s" s="3">
        <v>23</v>
      </c>
      <c r="E1192" s="25">
        <v>24562</v>
      </c>
      <c r="F1192" s="6">
        <f>E1192*0.19</f>
        <v>4666.78</v>
      </c>
      <c r="G1192" s="6">
        <f>E1192+F1192</f>
        <v>29228.78</v>
      </c>
      <c r="H1192" s="7">
        <f>IF(J1192=TRUE(),E1192,0)</f>
        <v>24562</v>
      </c>
      <c r="I1192" s="7">
        <f>IF(K1192=TRUE(),E1192,0)</f>
        <v>0</v>
      </c>
      <c r="J1192" t="b" s="4">
        <v>1</v>
      </c>
      <c r="K1192" t="b" s="4">
        <v>0</v>
      </c>
    </row>
    <row r="1193" ht="17" customHeight="1">
      <c r="A1193" s="4">
        <v>941</v>
      </c>
      <c r="B1193" s="5">
        <v>41974</v>
      </c>
      <c r="C1193" t="s" s="3">
        <v>98</v>
      </c>
      <c r="D1193" t="s" s="3">
        <v>23</v>
      </c>
      <c r="E1193" s="25">
        <v>239724</v>
      </c>
      <c r="F1193" s="6">
        <f>E1193*0.19</f>
        <v>45547.56</v>
      </c>
      <c r="G1193" s="6">
        <f>E1193+F1193</f>
        <v>285271.56</v>
      </c>
      <c r="H1193" s="7">
        <f>IF(J1193=TRUE(),E1193,0)</f>
        <v>239724</v>
      </c>
      <c r="I1193" s="7">
        <f>IF(K1193=TRUE(),E1193,0)</f>
        <v>0</v>
      </c>
      <c r="J1193" t="b" s="4">
        <v>1</v>
      </c>
      <c r="K1193" t="b" s="4">
        <v>0</v>
      </c>
    </row>
    <row r="1194" ht="17" customHeight="1">
      <c r="A1194" s="4">
        <v>942</v>
      </c>
      <c r="B1194" s="5">
        <v>41974</v>
      </c>
      <c r="C1194" t="s" s="3">
        <v>98</v>
      </c>
      <c r="D1194" t="s" s="3">
        <v>23</v>
      </c>
      <c r="E1194" s="25">
        <v>19650</v>
      </c>
      <c r="F1194" s="6">
        <f>E1194*0.19</f>
        <v>3733.5</v>
      </c>
      <c r="G1194" s="6">
        <f>E1194+F1194</f>
        <v>23383.5</v>
      </c>
      <c r="H1194" s="7">
        <f>IF(J1194=TRUE(),E1194,0)</f>
        <v>19650</v>
      </c>
      <c r="I1194" s="7">
        <f>IF(K1194=TRUE(),E1194,0)</f>
        <v>0</v>
      </c>
      <c r="J1194" t="b" s="4">
        <v>1</v>
      </c>
      <c r="K1194" t="b" s="4">
        <v>0</v>
      </c>
    </row>
    <row r="1195" ht="17" customHeight="1">
      <c r="A1195" s="4">
        <v>943</v>
      </c>
      <c r="B1195" s="5">
        <v>41974</v>
      </c>
      <c r="C1195" t="s" s="3">
        <v>98</v>
      </c>
      <c r="D1195" t="s" s="3">
        <v>23</v>
      </c>
      <c r="E1195" s="25">
        <v>81054</v>
      </c>
      <c r="F1195" s="6">
        <f>E1195*0.19</f>
        <v>15400.26</v>
      </c>
      <c r="G1195" s="6">
        <f>E1195+F1195</f>
        <v>96454.259999999995</v>
      </c>
      <c r="H1195" s="7">
        <f>IF(J1195=TRUE(),E1195,0)</f>
        <v>81054</v>
      </c>
      <c r="I1195" s="7">
        <f>IF(K1195=TRUE(),E1195,0)</f>
        <v>0</v>
      </c>
      <c r="J1195" t="b" s="4">
        <v>1</v>
      </c>
      <c r="K1195" t="b" s="4">
        <v>0</v>
      </c>
    </row>
    <row r="1196" ht="17" customHeight="1">
      <c r="A1196" s="4">
        <v>944</v>
      </c>
      <c r="B1196" s="5">
        <v>41974</v>
      </c>
      <c r="C1196" t="s" s="3">
        <v>357</v>
      </c>
      <c r="D1196" t="s" s="3">
        <v>23</v>
      </c>
      <c r="E1196" s="25">
        <v>346322</v>
      </c>
      <c r="F1196" s="6">
        <f>E1196*0.19</f>
        <v>65801.180000000008</v>
      </c>
      <c r="G1196" s="6">
        <f>E1196+F1196</f>
        <v>412123.18</v>
      </c>
      <c r="H1196" s="7">
        <f>IF(J1196=TRUE(),E1196,0)</f>
        <v>346322</v>
      </c>
      <c r="I1196" s="7">
        <f>IF(K1196=TRUE(),E1196,0)</f>
        <v>0</v>
      </c>
      <c r="J1196" t="b" s="4">
        <v>1</v>
      </c>
      <c r="K1196" t="b" s="4">
        <v>0</v>
      </c>
    </row>
    <row r="1197" ht="17" customHeight="1">
      <c r="A1197" s="4">
        <v>945</v>
      </c>
      <c r="B1197" s="5">
        <v>41974</v>
      </c>
      <c r="C1197" t="s" s="3">
        <v>541</v>
      </c>
      <c r="D1197" t="s" s="3">
        <v>23</v>
      </c>
      <c r="E1197" s="25">
        <v>54036</v>
      </c>
      <c r="F1197" s="6">
        <f>E1197*0.19</f>
        <v>10266.84</v>
      </c>
      <c r="G1197" s="6">
        <f>E1197+F1197</f>
        <v>64302.84</v>
      </c>
      <c r="H1197" s="7">
        <f>IF(J1197=TRUE(),E1197,0)</f>
        <v>54036</v>
      </c>
      <c r="I1197" s="7">
        <f>IF(K1197=TRUE(),E1197,0)</f>
        <v>0</v>
      </c>
      <c r="J1197" t="b" s="4">
        <v>1</v>
      </c>
      <c r="K1197" t="b" s="4">
        <v>0</v>
      </c>
    </row>
    <row r="1198" ht="17" customHeight="1">
      <c r="A1198" s="4">
        <v>946</v>
      </c>
      <c r="B1198" s="5">
        <v>41974</v>
      </c>
      <c r="C1198" t="s" s="3">
        <v>26</v>
      </c>
      <c r="D1198" t="s" s="3">
        <v>23</v>
      </c>
      <c r="E1198" s="25">
        <v>195000</v>
      </c>
      <c r="F1198" s="6">
        <f>E1198*0.19</f>
        <v>37050</v>
      </c>
      <c r="G1198" s="6">
        <f>E1198+F1198</f>
        <v>232050</v>
      </c>
      <c r="H1198" s="7">
        <f>IF(J1198=TRUE(),E1198,0)</f>
        <v>195000</v>
      </c>
      <c r="I1198" s="7">
        <f>IF(K1198=TRUE(),E1198,0)</f>
        <v>0</v>
      </c>
      <c r="J1198" t="b" s="4">
        <v>1</v>
      </c>
      <c r="K1198" t="b" s="4">
        <v>0</v>
      </c>
    </row>
    <row r="1199" ht="17" customHeight="1">
      <c r="A1199" s="4">
        <v>947</v>
      </c>
      <c r="B1199" s="5">
        <v>41974</v>
      </c>
      <c r="C1199" t="s" s="3">
        <v>253</v>
      </c>
      <c r="D1199" t="s" s="3">
        <v>23</v>
      </c>
      <c r="E1199" s="25">
        <v>617485</v>
      </c>
      <c r="F1199" s="6">
        <f>E1199*0.19</f>
        <v>117322.15</v>
      </c>
      <c r="G1199" s="6">
        <f>E1199+F1199</f>
        <v>734807.15</v>
      </c>
      <c r="H1199" s="7">
        <f>IF(J1199=TRUE(),E1199,0)</f>
        <v>617485</v>
      </c>
      <c r="I1199" s="7">
        <f>IF(K1199=TRUE(),E1199,0)</f>
        <v>0</v>
      </c>
      <c r="J1199" t="b" s="4">
        <v>1</v>
      </c>
      <c r="K1199" t="b" s="4">
        <v>0</v>
      </c>
    </row>
    <row r="1200" ht="17" customHeight="1">
      <c r="A1200" s="4">
        <v>948</v>
      </c>
      <c r="B1200" s="5">
        <v>41974</v>
      </c>
      <c r="C1200" t="s" s="3">
        <v>26</v>
      </c>
      <c r="D1200" t="s" s="3">
        <v>23</v>
      </c>
      <c r="E1200" s="25">
        <v>516087</v>
      </c>
      <c r="F1200" s="6">
        <f>E1200*0.19</f>
        <v>98056.53</v>
      </c>
      <c r="G1200" s="6">
        <f>E1200+F1200</f>
        <v>614143.53</v>
      </c>
      <c r="H1200" s="7">
        <f>IF(J1200=TRUE(),E1200,0)</f>
        <v>516087</v>
      </c>
      <c r="I1200" s="7">
        <f>IF(K1200=TRUE(),E1200,0)</f>
        <v>0</v>
      </c>
      <c r="J1200" t="b" s="4">
        <v>1</v>
      </c>
      <c r="K1200" t="b" s="4">
        <v>0</v>
      </c>
    </row>
    <row r="1201" ht="17" customHeight="1">
      <c r="A1201" s="4">
        <v>949</v>
      </c>
      <c r="B1201" s="5">
        <v>41974</v>
      </c>
      <c r="C1201" t="s" s="3">
        <v>42</v>
      </c>
      <c r="D1201" t="s" s="3">
        <v>23</v>
      </c>
      <c r="E1201" s="25">
        <v>377761</v>
      </c>
      <c r="F1201" s="6">
        <f>E1201*0.19</f>
        <v>71774.59</v>
      </c>
      <c r="G1201" s="6">
        <f>E1201+F1201</f>
        <v>449535.59</v>
      </c>
      <c r="H1201" s="7">
        <f>IF(J1201=TRUE(),E1201,0)</f>
        <v>377761</v>
      </c>
      <c r="I1201" s="7">
        <f>IF(K1201=TRUE(),E1201,0)</f>
        <v>0</v>
      </c>
      <c r="J1201" t="b" s="4">
        <v>1</v>
      </c>
      <c r="K1201" t="b" s="4">
        <v>0</v>
      </c>
    </row>
    <row r="1202" ht="17" customHeight="1">
      <c r="A1202" s="4">
        <v>950</v>
      </c>
      <c r="B1202" s="5">
        <v>41974</v>
      </c>
      <c r="C1202" t="s" s="3">
        <v>60</v>
      </c>
      <c r="D1202" t="s" s="3">
        <v>23</v>
      </c>
      <c r="E1202" s="25">
        <v>74668</v>
      </c>
      <c r="F1202" s="6">
        <f>E1202*0.19</f>
        <v>14186.92</v>
      </c>
      <c r="G1202" s="6">
        <f>E1202+F1202</f>
        <v>88854.92</v>
      </c>
      <c r="H1202" s="7">
        <f>IF(J1202=TRUE(),E1202,0)</f>
        <v>74668</v>
      </c>
      <c r="I1202" s="7">
        <f>IF(K1202=TRUE(),E1202,0)</f>
        <v>0</v>
      </c>
      <c r="J1202" t="b" s="4">
        <v>1</v>
      </c>
      <c r="K1202" t="b" s="4">
        <v>0</v>
      </c>
    </row>
    <row r="1203" ht="17" customHeight="1">
      <c r="A1203" s="4">
        <v>951</v>
      </c>
      <c r="B1203" s="5">
        <v>41974</v>
      </c>
      <c r="C1203" t="s" s="3">
        <v>34</v>
      </c>
      <c r="D1203" t="s" s="3">
        <v>23</v>
      </c>
      <c r="E1203" s="25">
        <v>95791</v>
      </c>
      <c r="F1203" s="6">
        <f>E1203*0.19</f>
        <v>18200.29</v>
      </c>
      <c r="G1203" s="6">
        <f>E1203+F1203</f>
        <v>113991.29</v>
      </c>
      <c r="H1203" s="7">
        <f>IF(J1203=TRUE(),E1203,0)</f>
        <v>95791</v>
      </c>
      <c r="I1203" s="7">
        <f>IF(K1203=TRUE(),E1203,0)</f>
        <v>0</v>
      </c>
      <c r="J1203" t="b" s="4">
        <v>1</v>
      </c>
      <c r="K1203" t="b" s="4">
        <v>0</v>
      </c>
    </row>
    <row r="1204" ht="17" customHeight="1">
      <c r="A1204" s="4">
        <v>952</v>
      </c>
      <c r="B1204" s="5">
        <v>41974</v>
      </c>
      <c r="C1204" t="s" s="3">
        <v>384</v>
      </c>
      <c r="D1204" t="s" s="3">
        <v>23</v>
      </c>
      <c r="E1204" s="25">
        <v>42983</v>
      </c>
      <c r="F1204" s="6">
        <f>E1204*0.19</f>
        <v>8166.77</v>
      </c>
      <c r="G1204" s="6">
        <f>E1204+F1204</f>
        <v>51149.77</v>
      </c>
      <c r="H1204" s="7">
        <f>IF(J1204=TRUE(),E1204,0)</f>
        <v>42983</v>
      </c>
      <c r="I1204" s="7">
        <f>IF(K1204=TRUE(),E1204,0)</f>
        <v>0</v>
      </c>
      <c r="J1204" t="b" s="4">
        <v>1</v>
      </c>
      <c r="K1204" t="b" s="4">
        <v>0</v>
      </c>
    </row>
    <row r="1205" ht="17" customHeight="1">
      <c r="A1205" s="4">
        <v>953</v>
      </c>
      <c r="B1205" s="5">
        <v>41974</v>
      </c>
      <c r="C1205" t="s" s="3">
        <v>610</v>
      </c>
      <c r="D1205" t="s" s="3">
        <v>23</v>
      </c>
      <c r="E1205" s="25">
        <v>163827</v>
      </c>
      <c r="F1205" s="6">
        <f>E1205*0.19</f>
        <v>31127.13</v>
      </c>
      <c r="G1205" s="6">
        <f>E1205+F1205</f>
        <v>194954.13</v>
      </c>
      <c r="H1205" s="7">
        <f>IF(J1205=TRUE(),E1205,0)</f>
        <v>163827</v>
      </c>
      <c r="I1205" s="7">
        <f>IF(K1205=TRUE(),E1205,0)</f>
        <v>0</v>
      </c>
      <c r="J1205" t="b" s="4">
        <v>1</v>
      </c>
      <c r="K1205" t="b" s="4">
        <v>0</v>
      </c>
    </row>
    <row r="1206" ht="17" customHeight="1">
      <c r="A1206" s="4">
        <v>954</v>
      </c>
      <c r="B1206" s="5">
        <v>41974</v>
      </c>
      <c r="C1206" t="s" s="3">
        <v>183</v>
      </c>
      <c r="D1206" t="s" s="3">
        <v>23</v>
      </c>
      <c r="E1206" s="25">
        <v>72212</v>
      </c>
      <c r="F1206" s="6">
        <f>E1206*0.19</f>
        <v>13720.28</v>
      </c>
      <c r="G1206" s="6">
        <f>E1206+F1206</f>
        <v>85932.28</v>
      </c>
      <c r="H1206" s="7">
        <f>IF(J1206=TRUE(),E1206,0)</f>
        <v>72212</v>
      </c>
      <c r="I1206" s="7">
        <f>IF(K1206=TRUE(),E1206,0)</f>
        <v>0</v>
      </c>
      <c r="J1206" t="b" s="4">
        <v>1</v>
      </c>
      <c r="K1206" t="b" s="4">
        <v>0</v>
      </c>
    </row>
    <row r="1207" ht="17" customHeight="1">
      <c r="A1207" s="4">
        <v>955</v>
      </c>
      <c r="B1207" s="5">
        <v>41974</v>
      </c>
      <c r="C1207" t="s" s="3">
        <v>541</v>
      </c>
      <c r="D1207" t="s" s="3">
        <v>611</v>
      </c>
      <c r="E1207" s="25">
        <v>1440000</v>
      </c>
      <c r="F1207" s="6">
        <f>E1207*0.19</f>
        <v>273600</v>
      </c>
      <c r="G1207" s="6">
        <f>E1207+F1207</f>
        <v>1713600</v>
      </c>
      <c r="H1207" s="7">
        <f>IF(J1207=TRUE(),E1207,0)</f>
        <v>0</v>
      </c>
      <c r="I1207" s="7">
        <f>IF(K1207=TRUE(),E1207,0)</f>
        <v>0</v>
      </c>
      <c r="J1207" t="b" s="4">
        <v>0</v>
      </c>
      <c r="K1207" t="b" s="4">
        <v>0</v>
      </c>
    </row>
    <row r="1208" ht="17" customHeight="1">
      <c r="A1208" s="4">
        <v>956</v>
      </c>
      <c r="B1208" s="5">
        <v>41974</v>
      </c>
      <c r="C1208" t="s" s="3">
        <v>42</v>
      </c>
      <c r="D1208" t="s" s="3">
        <v>612</v>
      </c>
      <c r="E1208" s="25">
        <v>253050</v>
      </c>
      <c r="F1208" s="6">
        <f>E1208*0.19</f>
        <v>48079.5</v>
      </c>
      <c r="G1208" s="6">
        <f>E1208+F1208</f>
        <v>301129.5</v>
      </c>
      <c r="H1208" s="7">
        <f>IF(J1208=TRUE(),E1208,0)</f>
        <v>0</v>
      </c>
      <c r="I1208" s="7">
        <f>IF(K1208=TRUE(),E1208,0)</f>
        <v>0</v>
      </c>
      <c r="J1208" t="b" s="4">
        <v>0</v>
      </c>
      <c r="K1208" t="b" s="4">
        <v>0</v>
      </c>
    </row>
    <row r="1209" ht="17.5" customHeight="1">
      <c r="A1209" s="9">
        <v>957</v>
      </c>
      <c r="B1209" s="5">
        <v>41974</v>
      </c>
      <c r="C1209" t="s" s="10">
        <v>298</v>
      </c>
      <c r="D1209" t="s" s="10">
        <v>613</v>
      </c>
      <c r="E1209" s="26">
        <v>3088952</v>
      </c>
      <c r="F1209" s="11">
        <f>E1209*0.19</f>
        <v>586900.88</v>
      </c>
      <c r="G1209" s="11">
        <f>E1209+F1209</f>
        <v>3675852.88</v>
      </c>
      <c r="H1209" s="12">
        <f>IF(J1209=TRUE(),E1209,0)</f>
        <v>0</v>
      </c>
      <c r="I1209" s="12">
        <f>IF(K1209=TRUE(),E1209,0)</f>
        <v>0</v>
      </c>
      <c r="J1209" t="b" s="9">
        <v>0</v>
      </c>
      <c r="K1209" t="b" s="9">
        <v>0</v>
      </c>
    </row>
    <row r="1210" ht="18" customHeight="1">
      <c r="A1210" s="13">
        <v>29</v>
      </c>
      <c r="B1210" t="s" s="3">
        <v>614</v>
      </c>
      <c r="C1210" t="s" s="14">
        <v>7</v>
      </c>
      <c r="D1210" s="14"/>
      <c r="E1210" s="15">
        <f>SUM(E1181:E1209)</f>
        <v>13580197</v>
      </c>
      <c r="F1210" s="15">
        <f>SUM(F1181:F1209)</f>
        <v>2580237.43</v>
      </c>
      <c r="G1210" s="16">
        <f>SUM(G1181:G1209)</f>
        <v>16160434.43</v>
      </c>
      <c r="H1210" s="17">
        <f>SUM(H1181:H1209)</f>
        <v>8798195</v>
      </c>
      <c r="I1210" s="17"/>
      <c r="J1210" s="18">
        <f>COUNTIF(J1181:J1209,TRUE())</f>
        <v>26</v>
      </c>
      <c r="K1210" s="19"/>
    </row>
    <row r="1211" ht="17.5" customHeight="1">
      <c r="A1211" s="20"/>
      <c r="B1211" s="8"/>
      <c r="C1211" s="20"/>
      <c r="D1211" s="21"/>
      <c r="E1211" s="24"/>
      <c r="F1211" s="24"/>
      <c r="G1211" s="24"/>
      <c r="H1211" s="22"/>
      <c r="I1211" s="22"/>
      <c r="J1211" s="20"/>
      <c r="K1211" s="20"/>
    </row>
    <row r="1212" ht="17" customHeight="1">
      <c r="A1212" t="s" s="3">
        <v>1</v>
      </c>
      <c r="B1212" t="s" s="3">
        <v>2</v>
      </c>
      <c r="C1212" t="s" s="3">
        <v>3</v>
      </c>
      <c r="D1212" t="s" s="3">
        <v>4</v>
      </c>
      <c r="E1212" t="s" s="3">
        <v>5</v>
      </c>
      <c r="F1212" t="s" s="3">
        <v>6</v>
      </c>
      <c r="G1212" t="s" s="3">
        <v>7</v>
      </c>
      <c r="H1212" s="7"/>
      <c r="I1212" s="7"/>
      <c r="J1212" s="8"/>
      <c r="K1212" s="8"/>
    </row>
    <row r="1213" ht="17" customHeight="1">
      <c r="A1213" t="s" s="3">
        <v>615</v>
      </c>
      <c r="B1213" s="5">
        <v>42009</v>
      </c>
      <c r="C1213" t="s" s="3">
        <v>42</v>
      </c>
      <c r="D1213" t="s" s="3">
        <v>616</v>
      </c>
      <c r="E1213" s="25">
        <v>-253050</v>
      </c>
      <c r="F1213" s="6">
        <f>E1213*0.19</f>
        <v>-48079.5</v>
      </c>
      <c r="G1213" s="6">
        <f>E1213+F1213</f>
        <v>-301129.5</v>
      </c>
      <c r="H1213" s="7">
        <f>IF(J1213=TRUE(),E1213,0)</f>
        <v>-253050</v>
      </c>
      <c r="I1213" s="7">
        <f>IF(K1213=TRUE(),E1213,0)</f>
        <v>0</v>
      </c>
      <c r="J1213" t="b" s="4">
        <v>1</v>
      </c>
      <c r="K1213" t="b" s="4">
        <v>0</v>
      </c>
    </row>
    <row r="1214" ht="17" customHeight="1">
      <c r="A1214" t="s" s="3">
        <v>617</v>
      </c>
      <c r="B1214" s="5">
        <v>42025</v>
      </c>
      <c r="C1214" t="s" s="3">
        <v>58</v>
      </c>
      <c r="D1214" t="s" s="3">
        <v>618</v>
      </c>
      <c r="E1214" s="25">
        <v>-25000</v>
      </c>
      <c r="F1214" s="6">
        <f>E1214*0.19</f>
        <v>-4750</v>
      </c>
      <c r="G1214" s="6">
        <f>E1214+F1214</f>
        <v>-29750</v>
      </c>
      <c r="H1214" s="7">
        <f>IF(J1214=TRUE(),E1214,0)</f>
        <v>-25000</v>
      </c>
      <c r="I1214" s="7">
        <f>IF(K1214=TRUE(),E1214,0)</f>
        <v>0</v>
      </c>
      <c r="J1214" t="b" s="4">
        <v>1</v>
      </c>
      <c r="K1214" t="b" s="4">
        <v>0</v>
      </c>
    </row>
    <row r="1215" ht="17" customHeight="1">
      <c r="A1215" s="4">
        <v>958</v>
      </c>
      <c r="B1215" s="5">
        <v>42012</v>
      </c>
      <c r="C1215" t="s" s="3">
        <v>42</v>
      </c>
      <c r="D1215" t="s" s="3">
        <v>619</v>
      </c>
      <c r="E1215" s="25">
        <v>1361450</v>
      </c>
      <c r="F1215" s="6">
        <f>E1215*0.19</f>
        <v>258675.5</v>
      </c>
      <c r="G1215" s="6">
        <f>E1215+F1215</f>
        <v>1620125.5</v>
      </c>
      <c r="H1215" s="7">
        <f>IF(J1215=TRUE(),E1215,0)</f>
        <v>0</v>
      </c>
      <c r="I1215" s="7">
        <f>IF(K1215=TRUE(),E1215,0)</f>
        <v>0</v>
      </c>
      <c r="J1215" t="b" s="4">
        <v>0</v>
      </c>
      <c r="K1215" t="b" s="4">
        <v>0</v>
      </c>
    </row>
    <row r="1216" ht="17" customHeight="1">
      <c r="A1216" s="4">
        <v>959</v>
      </c>
      <c r="B1216" s="5">
        <v>42012</v>
      </c>
      <c r="C1216" t="s" s="3">
        <v>620</v>
      </c>
      <c r="D1216" t="s" s="3">
        <v>621</v>
      </c>
      <c r="E1216" s="25">
        <v>1211900</v>
      </c>
      <c r="F1216" s="6">
        <f>E1216*0.19</f>
        <v>230261</v>
      </c>
      <c r="G1216" s="6">
        <f>E1216+F1216</f>
        <v>1442161</v>
      </c>
      <c r="H1216" s="7">
        <f>IF(J1216=TRUE(),E1216,0)</f>
        <v>0</v>
      </c>
      <c r="I1216" s="7">
        <f>IF(K1216=TRUE(),E1216,0)</f>
        <v>0</v>
      </c>
      <c r="J1216" t="b" s="4">
        <v>0</v>
      </c>
      <c r="K1216" t="b" s="4">
        <v>0</v>
      </c>
    </row>
    <row r="1217" ht="17" customHeight="1">
      <c r="A1217" s="4">
        <v>960</v>
      </c>
      <c r="B1217" s="5">
        <v>42020</v>
      </c>
      <c r="C1217" t="s" s="3">
        <v>622</v>
      </c>
      <c r="D1217" t="s" s="3">
        <v>623</v>
      </c>
      <c r="E1217" s="25">
        <v>2222000</v>
      </c>
      <c r="F1217" s="6">
        <f>E1217*0.19</f>
        <v>422180</v>
      </c>
      <c r="G1217" s="6">
        <f>E1217+F1217</f>
        <v>2644180</v>
      </c>
      <c r="H1217" s="7">
        <f>IF(J1217=TRUE(),E1217,0)</f>
        <v>0</v>
      </c>
      <c r="I1217" s="7">
        <f>IF(K1217=TRUE(),E1217,0)</f>
        <v>0</v>
      </c>
      <c r="J1217" t="b" s="4">
        <v>0</v>
      </c>
      <c r="K1217" t="b" s="4">
        <v>0</v>
      </c>
    </row>
    <row r="1218" ht="17" customHeight="1">
      <c r="A1218" s="4">
        <v>961</v>
      </c>
      <c r="B1218" s="5">
        <v>42020</v>
      </c>
      <c r="C1218" t="s" s="3">
        <v>253</v>
      </c>
      <c r="D1218" t="s" s="3">
        <v>624</v>
      </c>
      <c r="E1218" s="25">
        <v>295000</v>
      </c>
      <c r="F1218" s="6">
        <f>E1218*0.19</f>
        <v>56050</v>
      </c>
      <c r="G1218" s="6">
        <f>E1218+F1218</f>
        <v>351050</v>
      </c>
      <c r="H1218" s="7">
        <f>IF(J1218=TRUE(),E1218,0)</f>
        <v>0</v>
      </c>
      <c r="I1218" s="7">
        <f>IF(K1218=TRUE(),E1218,0)</f>
        <v>0</v>
      </c>
      <c r="J1218" t="b" s="4">
        <v>0</v>
      </c>
      <c r="K1218" t="b" s="4">
        <v>0</v>
      </c>
    </row>
    <row r="1219" ht="17" customHeight="1">
      <c r="A1219" s="4">
        <v>962</v>
      </c>
      <c r="B1219" s="5">
        <v>42020</v>
      </c>
      <c r="C1219" t="s" s="3">
        <v>98</v>
      </c>
      <c r="D1219" t="s" s="3">
        <v>625</v>
      </c>
      <c r="E1219" s="25">
        <v>685000</v>
      </c>
      <c r="F1219" s="6">
        <f>E1219*0.19</f>
        <v>130150</v>
      </c>
      <c r="G1219" s="6">
        <f>E1219+F1219</f>
        <v>815150</v>
      </c>
      <c r="H1219" s="7">
        <f>IF(J1219=TRUE(),E1219,0)</f>
        <v>0</v>
      </c>
      <c r="I1219" s="7">
        <f>IF(K1219=TRUE(),E1219,0)</f>
        <v>0</v>
      </c>
      <c r="J1219" t="b" s="4">
        <v>0</v>
      </c>
      <c r="K1219" t="b" s="4">
        <v>0</v>
      </c>
    </row>
    <row r="1220" ht="17" customHeight="1">
      <c r="A1220" s="4">
        <v>963</v>
      </c>
      <c r="B1220" s="5">
        <v>42020</v>
      </c>
      <c r="C1220" t="s" s="3">
        <v>98</v>
      </c>
      <c r="D1220" t="s" s="3">
        <v>626</v>
      </c>
      <c r="E1220" s="25">
        <v>64275</v>
      </c>
      <c r="F1220" s="6">
        <f>E1220*0.19</f>
        <v>12212.25</v>
      </c>
      <c r="G1220" s="6">
        <f>E1220+F1220</f>
        <v>76487.25</v>
      </c>
      <c r="H1220" s="7">
        <f>IF(J1220=TRUE(),E1220,0)</f>
        <v>0</v>
      </c>
      <c r="I1220" s="7">
        <f>IF(K1220=TRUE(),E1220,0)</f>
        <v>0</v>
      </c>
      <c r="J1220" t="b" s="4">
        <v>0</v>
      </c>
      <c r="K1220" t="b" s="4">
        <v>0</v>
      </c>
    </row>
    <row r="1221" ht="17" customHeight="1">
      <c r="A1221" s="4">
        <v>964</v>
      </c>
      <c r="B1221" s="5">
        <v>42025</v>
      </c>
      <c r="C1221" t="s" s="3">
        <v>56</v>
      </c>
      <c r="D1221" t="s" s="3">
        <v>627</v>
      </c>
      <c r="E1221" s="25">
        <v>100000</v>
      </c>
      <c r="F1221" s="6">
        <f>E1221*0.19</f>
        <v>19000</v>
      </c>
      <c r="G1221" s="6">
        <f>E1221+F1221</f>
        <v>119000</v>
      </c>
      <c r="H1221" s="7">
        <f>IF(J1221=TRUE(),E1221,0)</f>
        <v>0</v>
      </c>
      <c r="I1221" s="7">
        <f>IF(K1221=TRUE(),E1221,0)</f>
        <v>0</v>
      </c>
      <c r="J1221" t="b" s="4">
        <v>0</v>
      </c>
      <c r="K1221" t="b" s="4">
        <v>0</v>
      </c>
    </row>
    <row r="1222" ht="17" customHeight="1">
      <c r="A1222" s="4">
        <v>965</v>
      </c>
      <c r="B1222" s="5">
        <v>42025</v>
      </c>
      <c r="C1222" t="s" s="3">
        <v>26</v>
      </c>
      <c r="D1222" t="s" s="3">
        <v>628</v>
      </c>
      <c r="E1222" s="25">
        <v>25000</v>
      </c>
      <c r="F1222" s="6">
        <f>E1222*0.19</f>
        <v>4750</v>
      </c>
      <c r="G1222" s="6">
        <f>E1222+F1222</f>
        <v>29750</v>
      </c>
      <c r="H1222" s="7">
        <f>IF(J1222=TRUE(),E1222,0)</f>
        <v>0</v>
      </c>
      <c r="I1222" s="7">
        <f>IF(K1222=TRUE(),E1222,0)</f>
        <v>0</v>
      </c>
      <c r="J1222" t="b" s="4">
        <v>0</v>
      </c>
      <c r="K1222" t="b" s="4">
        <v>0</v>
      </c>
    </row>
    <row r="1223" ht="17" customHeight="1">
      <c r="A1223" s="4">
        <v>966</v>
      </c>
      <c r="B1223" s="5">
        <v>42025</v>
      </c>
      <c r="C1223" t="s" s="3">
        <v>555</v>
      </c>
      <c r="D1223" t="s" s="3">
        <v>627</v>
      </c>
      <c r="E1223" s="25">
        <v>65000</v>
      </c>
      <c r="F1223" s="6">
        <f>E1223*0.19</f>
        <v>12350</v>
      </c>
      <c r="G1223" s="6">
        <f>E1223+F1223</f>
        <v>77350</v>
      </c>
      <c r="H1223" s="7">
        <f>IF(J1223=TRUE(),E1223,0)</f>
        <v>0</v>
      </c>
      <c r="I1223" s="7">
        <f>IF(K1223=TRUE(),E1223,0)</f>
        <v>0</v>
      </c>
      <c r="J1223" t="b" s="4">
        <v>0</v>
      </c>
      <c r="K1223" t="b" s="4">
        <v>0</v>
      </c>
    </row>
    <row r="1224" ht="17" customHeight="1">
      <c r="A1224" s="4">
        <v>967</v>
      </c>
      <c r="B1224" s="5"/>
      <c r="C1224" t="s" s="3">
        <v>629</v>
      </c>
      <c r="D1224" s="3"/>
      <c r="E1224" s="25"/>
      <c r="F1224" s="6">
        <f>E1224*0.19</f>
        <v>0</v>
      </c>
      <c r="G1224" s="6">
        <f>E1224+F1224</f>
        <v>0</v>
      </c>
      <c r="H1224" s="7">
        <f>IF(J1224=TRUE(),E1224,0)</f>
        <v>0</v>
      </c>
      <c r="I1224" s="7">
        <f>IF(K1224=TRUE(),E1224,0)</f>
        <v>0</v>
      </c>
      <c r="J1224" t="b" s="4">
        <v>0</v>
      </c>
      <c r="K1224" t="b" s="4">
        <v>0</v>
      </c>
    </row>
    <row r="1225" ht="17" customHeight="1">
      <c r="A1225" s="4">
        <v>968</v>
      </c>
      <c r="B1225" s="5"/>
      <c r="C1225" t="s" s="3">
        <v>629</v>
      </c>
      <c r="D1225" s="3"/>
      <c r="E1225" s="25"/>
      <c r="F1225" s="6">
        <f>E1225*0.19</f>
        <v>0</v>
      </c>
      <c r="G1225" s="6">
        <f>E1225+F1225</f>
        <v>0</v>
      </c>
      <c r="H1225" s="7">
        <f>IF(J1225=TRUE(),E1225,0)</f>
        <v>0</v>
      </c>
      <c r="I1225" s="7">
        <f>IF(K1225=TRUE(),E1225,0)</f>
        <v>0</v>
      </c>
      <c r="J1225" t="b" s="4">
        <v>0</v>
      </c>
      <c r="K1225" t="b" s="4">
        <v>0</v>
      </c>
    </row>
    <row r="1226" ht="17" customHeight="1">
      <c r="A1226" s="4">
        <v>969</v>
      </c>
      <c r="B1226" s="5"/>
      <c r="C1226" t="s" s="3">
        <v>629</v>
      </c>
      <c r="D1226" s="3"/>
      <c r="E1226" s="25"/>
      <c r="F1226" s="6">
        <f>E1226*0.19</f>
        <v>0</v>
      </c>
      <c r="G1226" s="6">
        <f>E1226+F1226</f>
        <v>0</v>
      </c>
      <c r="H1226" s="7">
        <f>IF(J1226=TRUE(),E1226,0)</f>
        <v>0</v>
      </c>
      <c r="I1226" s="7">
        <f>IF(K1226=TRUE(),E1226,0)</f>
        <v>0</v>
      </c>
      <c r="J1226" t="b" s="4">
        <v>0</v>
      </c>
      <c r="K1226" t="b" s="4">
        <v>0</v>
      </c>
    </row>
    <row r="1227" ht="17" customHeight="1">
      <c r="A1227" s="4">
        <v>970</v>
      </c>
      <c r="B1227" s="5"/>
      <c r="C1227" t="s" s="3">
        <v>629</v>
      </c>
      <c r="D1227" s="3"/>
      <c r="E1227" s="25"/>
      <c r="F1227" s="6">
        <f>E1227*0.19</f>
        <v>0</v>
      </c>
      <c r="G1227" s="6">
        <f>E1227+F1227</f>
        <v>0</v>
      </c>
      <c r="H1227" s="7">
        <f>IF(J1227=TRUE(),E1227,0)</f>
        <v>0</v>
      </c>
      <c r="I1227" s="7">
        <f>IF(K1227=TRUE(),E1227,0)</f>
        <v>0</v>
      </c>
      <c r="J1227" t="b" s="4">
        <v>0</v>
      </c>
      <c r="K1227" t="b" s="4">
        <v>0</v>
      </c>
    </row>
    <row r="1228" ht="17" customHeight="1">
      <c r="A1228" s="4">
        <v>975</v>
      </c>
      <c r="B1228" s="5">
        <v>42005</v>
      </c>
      <c r="C1228" t="s" s="3">
        <v>22</v>
      </c>
      <c r="D1228" t="s" s="3">
        <v>32</v>
      </c>
      <c r="E1228" s="25">
        <v>171405</v>
      </c>
      <c r="F1228" s="6">
        <f>E1228*0.19</f>
        <v>32566.95</v>
      </c>
      <c r="G1228" s="6">
        <f>E1228+F1228</f>
        <v>203971.95</v>
      </c>
      <c r="H1228" s="7">
        <f>IF(J1228=TRUE(),E1228,0)</f>
        <v>171405</v>
      </c>
      <c r="I1228" s="7">
        <f>IF(K1228=TRUE(),E1228,0)</f>
        <v>0</v>
      </c>
      <c r="J1228" t="b" s="4">
        <v>1</v>
      </c>
      <c r="K1228" t="b" s="4">
        <v>0</v>
      </c>
    </row>
    <row r="1229" ht="17" customHeight="1">
      <c r="A1229" s="4">
        <v>976</v>
      </c>
      <c r="B1229" s="5">
        <v>42005</v>
      </c>
      <c r="C1229" t="s" s="3">
        <v>555</v>
      </c>
      <c r="D1229" t="s" s="3">
        <v>32</v>
      </c>
      <c r="E1229" s="25">
        <v>24627</v>
      </c>
      <c r="F1229" s="6">
        <f>E1229*0.19</f>
        <v>4679.13</v>
      </c>
      <c r="G1229" s="6">
        <f>E1229+F1229</f>
        <v>29306.13</v>
      </c>
      <c r="H1229" s="7">
        <f>IF(J1229=TRUE(),E1229,0)</f>
        <v>24627</v>
      </c>
      <c r="I1229" s="7">
        <f>IF(K1229=TRUE(),E1229,0)</f>
        <v>0</v>
      </c>
      <c r="J1229" t="b" s="4">
        <v>1</v>
      </c>
      <c r="K1229" t="b" s="4">
        <v>0</v>
      </c>
    </row>
    <row r="1230" ht="17" customHeight="1">
      <c r="A1230" s="4">
        <v>977</v>
      </c>
      <c r="B1230" s="5">
        <v>42005</v>
      </c>
      <c r="C1230" t="s" s="3">
        <v>98</v>
      </c>
      <c r="D1230" t="s" s="3">
        <v>32</v>
      </c>
      <c r="E1230" s="25">
        <v>240360</v>
      </c>
      <c r="F1230" s="6">
        <f>E1230*0.19</f>
        <v>45668.4</v>
      </c>
      <c r="G1230" s="6">
        <f>E1230+F1230</f>
        <v>286028.4</v>
      </c>
      <c r="H1230" s="7">
        <f>IF(J1230=TRUE(),E1230,0)</f>
        <v>240360</v>
      </c>
      <c r="I1230" s="7">
        <f>IF(K1230=TRUE(),E1230,0)</f>
        <v>0</v>
      </c>
      <c r="J1230" t="b" s="4">
        <v>1</v>
      </c>
      <c r="K1230" t="b" s="4">
        <v>0</v>
      </c>
    </row>
    <row r="1231" ht="17" customHeight="1">
      <c r="A1231" s="4">
        <v>978</v>
      </c>
      <c r="B1231" s="5">
        <v>42005</v>
      </c>
      <c r="C1231" t="s" s="3">
        <v>98</v>
      </c>
      <c r="D1231" t="s" s="3">
        <v>32</v>
      </c>
      <c r="E1231" s="25">
        <v>19702</v>
      </c>
      <c r="F1231" s="6">
        <f>E1231*0.19</f>
        <v>3743.38</v>
      </c>
      <c r="G1231" s="6">
        <f>E1231+F1231</f>
        <v>23445.38</v>
      </c>
      <c r="H1231" s="7">
        <f>IF(J1231=TRUE(),E1231,0)</f>
        <v>19702</v>
      </c>
      <c r="I1231" s="7">
        <f>IF(K1231=TRUE(),E1231,0)</f>
        <v>0</v>
      </c>
      <c r="J1231" t="b" s="4">
        <v>1</v>
      </c>
      <c r="K1231" t="b" s="4">
        <v>0</v>
      </c>
    </row>
    <row r="1232" ht="17" customHeight="1">
      <c r="A1232" s="4">
        <v>979</v>
      </c>
      <c r="B1232" s="5">
        <v>42005</v>
      </c>
      <c r="C1232" t="s" s="3">
        <v>98</v>
      </c>
      <c r="D1232" t="s" s="3">
        <v>32</v>
      </c>
      <c r="E1232" s="25">
        <v>81269</v>
      </c>
      <c r="F1232" s="6">
        <f>E1232*0.19</f>
        <v>15441.11</v>
      </c>
      <c r="G1232" s="6">
        <f>E1232+F1232</f>
        <v>96710.11</v>
      </c>
      <c r="H1232" s="7">
        <f>IF(J1232=TRUE(),E1232,0)</f>
        <v>81269</v>
      </c>
      <c r="I1232" s="7">
        <f>IF(K1232=TRUE(),E1232,0)</f>
        <v>0</v>
      </c>
      <c r="J1232" t="b" s="4">
        <v>1</v>
      </c>
      <c r="K1232" t="b" s="4">
        <v>0</v>
      </c>
    </row>
    <row r="1233" ht="17" customHeight="1">
      <c r="A1233" s="4">
        <v>980</v>
      </c>
      <c r="B1233" s="5">
        <v>42005</v>
      </c>
      <c r="C1233" t="s" s="3">
        <v>357</v>
      </c>
      <c r="D1233" t="s" s="3">
        <v>32</v>
      </c>
      <c r="E1233" s="25">
        <v>347242</v>
      </c>
      <c r="F1233" s="6">
        <f>E1233*0.19</f>
        <v>65975.98</v>
      </c>
      <c r="G1233" s="6">
        <f>E1233+F1233</f>
        <v>413217.98</v>
      </c>
      <c r="H1233" s="7">
        <f>IF(J1233=TRUE(),E1233,0)</f>
        <v>347242</v>
      </c>
      <c r="I1233" s="7">
        <f>IF(K1233=TRUE(),E1233,0)</f>
        <v>0</v>
      </c>
      <c r="J1233" t="b" s="4">
        <v>1</v>
      </c>
      <c r="K1233" t="b" s="4">
        <v>0</v>
      </c>
    </row>
    <row r="1234" ht="17" customHeight="1">
      <c r="A1234" s="4">
        <v>981</v>
      </c>
      <c r="B1234" s="5">
        <v>42005</v>
      </c>
      <c r="C1234" t="s" s="3">
        <v>541</v>
      </c>
      <c r="D1234" t="s" s="3">
        <v>32</v>
      </c>
      <c r="E1234" s="25">
        <v>54180</v>
      </c>
      <c r="F1234" s="6">
        <f>E1234*0.19</f>
        <v>10294.2</v>
      </c>
      <c r="G1234" s="6">
        <f>E1234+F1234</f>
        <v>64474.2</v>
      </c>
      <c r="H1234" s="7">
        <f>IF(J1234=TRUE(),E1234,0)</f>
        <v>54180</v>
      </c>
      <c r="I1234" s="7">
        <f>IF(K1234=TRUE(),E1234,0)</f>
        <v>0</v>
      </c>
      <c r="J1234" t="b" s="4">
        <v>1</v>
      </c>
      <c r="K1234" t="b" s="4">
        <v>0</v>
      </c>
    </row>
    <row r="1235" ht="17" customHeight="1">
      <c r="A1235" s="4">
        <v>982</v>
      </c>
      <c r="B1235" s="5">
        <v>42005</v>
      </c>
      <c r="C1235" t="s" s="3">
        <v>42</v>
      </c>
      <c r="D1235" t="s" s="3">
        <v>32</v>
      </c>
      <c r="E1235" s="25">
        <v>378765</v>
      </c>
      <c r="F1235" s="6">
        <f>E1235*0.19</f>
        <v>71965.350000000006</v>
      </c>
      <c r="G1235" s="6">
        <f>E1235+F1235</f>
        <v>450730.35</v>
      </c>
      <c r="H1235" s="7">
        <f>IF(J1235=TRUE(),E1235,0)</f>
        <v>378765</v>
      </c>
      <c r="I1235" s="7">
        <f>IF(K1235=TRUE(),E1235,0)</f>
        <v>0</v>
      </c>
      <c r="J1235" t="b" s="4">
        <v>1</v>
      </c>
      <c r="K1235" t="b" s="4">
        <v>0</v>
      </c>
    </row>
    <row r="1236" ht="17" customHeight="1">
      <c r="A1236" s="4">
        <v>983</v>
      </c>
      <c r="B1236" s="5">
        <v>42005</v>
      </c>
      <c r="C1236" t="s" s="3">
        <v>60</v>
      </c>
      <c r="D1236" t="s" s="3">
        <v>32</v>
      </c>
      <c r="E1236" s="25">
        <v>74866</v>
      </c>
      <c r="F1236" s="6">
        <f>E1236*0.19</f>
        <v>14224.54</v>
      </c>
      <c r="G1236" s="6">
        <f>E1236+F1236</f>
        <v>89090.540000000008</v>
      </c>
      <c r="H1236" s="7">
        <f>IF(J1236=TRUE(),E1236,0)</f>
        <v>74866</v>
      </c>
      <c r="I1236" s="7">
        <f>IF(K1236=TRUE(),E1236,0)</f>
        <v>0</v>
      </c>
      <c r="J1236" t="b" s="4">
        <v>1</v>
      </c>
      <c r="K1236" t="b" s="4">
        <v>0</v>
      </c>
    </row>
    <row r="1237" ht="17" customHeight="1">
      <c r="A1237" s="4">
        <v>984</v>
      </c>
      <c r="B1237" s="5">
        <v>42005</v>
      </c>
      <c r="C1237" t="s" s="3">
        <v>34</v>
      </c>
      <c r="D1237" t="s" s="3">
        <v>32</v>
      </c>
      <c r="E1237" s="25">
        <v>96046</v>
      </c>
      <c r="F1237" s="6">
        <f>E1237*0.19</f>
        <v>18248.74</v>
      </c>
      <c r="G1237" s="6">
        <f>E1237+F1237</f>
        <v>114294.74</v>
      </c>
      <c r="H1237" s="7">
        <f>IF(J1237=TRUE(),E1237,0)</f>
        <v>96046</v>
      </c>
      <c r="I1237" s="7">
        <f>IF(K1237=TRUE(),E1237,0)</f>
        <v>0</v>
      </c>
      <c r="J1237" t="b" s="4">
        <v>1</v>
      </c>
      <c r="K1237" t="b" s="4">
        <v>0</v>
      </c>
    </row>
    <row r="1238" ht="17" customHeight="1">
      <c r="A1238" s="4">
        <v>985</v>
      </c>
      <c r="B1238" s="5">
        <v>42005</v>
      </c>
      <c r="C1238" t="s" s="3">
        <v>384</v>
      </c>
      <c r="D1238" t="s" s="3">
        <v>32</v>
      </c>
      <c r="E1238" s="25">
        <v>43097</v>
      </c>
      <c r="F1238" s="6">
        <f>E1238*0.19</f>
        <v>8188.43</v>
      </c>
      <c r="G1238" s="6">
        <f>E1238+F1238</f>
        <v>51285.43</v>
      </c>
      <c r="H1238" s="7">
        <f>IF(J1238=TRUE(),E1238,0)</f>
        <v>43097</v>
      </c>
      <c r="I1238" s="7">
        <f>IF(K1238=TRUE(),E1238,0)</f>
        <v>0</v>
      </c>
      <c r="J1238" t="b" s="4">
        <v>1</v>
      </c>
      <c r="K1238" t="b" s="4">
        <v>0</v>
      </c>
    </row>
    <row r="1239" ht="17" customHeight="1">
      <c r="A1239" s="4">
        <v>986</v>
      </c>
      <c r="B1239" s="5">
        <v>42005</v>
      </c>
      <c r="C1239" t="s" s="3">
        <v>630</v>
      </c>
      <c r="D1239" t="s" s="3">
        <v>32</v>
      </c>
      <c r="E1239" s="25">
        <v>164263</v>
      </c>
      <c r="F1239" s="6">
        <f>E1239*0.19</f>
        <v>31209.97</v>
      </c>
      <c r="G1239" s="6">
        <f>E1239+F1239</f>
        <v>195472.97</v>
      </c>
      <c r="H1239" s="7">
        <f>IF(J1239=TRUE(),E1239,0)</f>
        <v>164263</v>
      </c>
      <c r="I1239" s="7">
        <f>IF(K1239=TRUE(),E1239,0)</f>
        <v>0</v>
      </c>
      <c r="J1239" t="b" s="4">
        <v>1</v>
      </c>
      <c r="K1239" t="b" s="4">
        <v>0</v>
      </c>
    </row>
    <row r="1240" ht="17.5" customHeight="1">
      <c r="A1240" s="9">
        <v>987</v>
      </c>
      <c r="B1240" s="5">
        <v>42005</v>
      </c>
      <c r="C1240" t="s" s="10">
        <v>183</v>
      </c>
      <c r="D1240" t="s" s="10">
        <v>32</v>
      </c>
      <c r="E1240" s="26">
        <v>72404</v>
      </c>
      <c r="F1240" s="11">
        <f>E1240*0.19</f>
        <v>13756.76</v>
      </c>
      <c r="G1240" s="11">
        <f>E1240+F1240</f>
        <v>86160.759999999995</v>
      </c>
      <c r="H1240" s="12">
        <f>IF(J1240=TRUE(),E1240,0)</f>
        <v>72404</v>
      </c>
      <c r="I1240" s="12">
        <f>IF(K1240=TRUE(),E1240,0)</f>
        <v>0</v>
      </c>
      <c r="J1240" t="b" s="9">
        <v>1</v>
      </c>
      <c r="K1240" t="b" s="9">
        <v>0</v>
      </c>
    </row>
    <row r="1241" ht="18" customHeight="1">
      <c r="A1241" s="13">
        <v>28</v>
      </c>
      <c r="B1241" t="s" s="3">
        <v>631</v>
      </c>
      <c r="C1241" t="s" s="14">
        <v>7</v>
      </c>
      <c r="D1241" s="14"/>
      <c r="E1241" s="15">
        <f>SUM(E1213:E1240)</f>
        <v>7519801</v>
      </c>
      <c r="F1241" s="15">
        <f>SUM(F1213:F1240)</f>
        <v>1428762.19</v>
      </c>
      <c r="G1241" s="16">
        <f>SUM(G1213:G1240)</f>
        <v>8948563.190000001</v>
      </c>
      <c r="H1241" s="17">
        <f>SUM(H1213:H1240)</f>
        <v>1490176</v>
      </c>
      <c r="I1241" s="17"/>
      <c r="J1241" s="18">
        <f>COUNTIF(J1213:J1240,TRUE())</f>
        <v>15</v>
      </c>
      <c r="K1241" s="19"/>
    </row>
    <row r="1242" ht="17.5" customHeight="1">
      <c r="A1242" s="20"/>
      <c r="B1242" s="3"/>
      <c r="C1242" s="20"/>
      <c r="D1242" s="21"/>
      <c r="E1242" s="24"/>
      <c r="F1242" s="24"/>
      <c r="G1242" s="24"/>
      <c r="H1242" s="22"/>
      <c r="I1242" s="22"/>
      <c r="J1242" s="20"/>
      <c r="K1242" s="20"/>
    </row>
    <row r="1243" ht="17" customHeight="1">
      <c r="A1243" t="s" s="3">
        <v>1</v>
      </c>
      <c r="B1243" t="s" s="3">
        <v>2</v>
      </c>
      <c r="C1243" t="s" s="3">
        <v>3</v>
      </c>
      <c r="D1243" t="s" s="3">
        <v>4</v>
      </c>
      <c r="E1243" t="s" s="3">
        <v>5</v>
      </c>
      <c r="F1243" t="s" s="3">
        <v>6</v>
      </c>
      <c r="G1243" t="s" s="3">
        <v>7</v>
      </c>
      <c r="H1243" s="7"/>
      <c r="I1243" s="7"/>
      <c r="J1243" s="8"/>
      <c r="K1243" s="8"/>
    </row>
    <row r="1244" ht="17" customHeight="1">
      <c r="A1244" s="4">
        <v>971</v>
      </c>
      <c r="B1244" s="5">
        <v>42036</v>
      </c>
      <c r="C1244" t="s" s="3">
        <v>632</v>
      </c>
      <c r="D1244" t="s" s="3">
        <v>633</v>
      </c>
      <c r="E1244" s="25">
        <v>450000</v>
      </c>
      <c r="F1244" s="6">
        <f>E1244*0.19</f>
        <v>85500</v>
      </c>
      <c r="G1244" s="6">
        <f>E1244+F1244</f>
        <v>535500</v>
      </c>
      <c r="H1244" s="7">
        <f>IF(J1244=TRUE(),E1244,0)</f>
        <v>0</v>
      </c>
      <c r="I1244" s="7">
        <f>IF(K1244=TRUE(),E1244,0)</f>
        <v>0</v>
      </c>
      <c r="J1244" t="b" s="4">
        <v>0</v>
      </c>
      <c r="K1244" t="b" s="4">
        <v>0</v>
      </c>
    </row>
    <row r="1245" ht="17" customHeight="1">
      <c r="A1245" s="4">
        <v>972</v>
      </c>
      <c r="B1245" s="5">
        <v>42036</v>
      </c>
      <c r="C1245" t="s" s="3">
        <v>634</v>
      </c>
      <c r="D1245" t="s" s="3">
        <v>592</v>
      </c>
      <c r="E1245" s="25">
        <v>1389300</v>
      </c>
      <c r="F1245" s="6">
        <f>E1245*0.19</f>
        <v>263967</v>
      </c>
      <c r="G1245" s="6">
        <f>E1245+F1245</f>
        <v>1653267</v>
      </c>
      <c r="H1245" s="7">
        <f>IF(J1245=TRUE(),E1245,0)</f>
        <v>0</v>
      </c>
      <c r="I1245" s="7">
        <f>IF(K1245=TRUE(),E1245,0)</f>
        <v>0</v>
      </c>
      <c r="J1245" t="b" s="4">
        <v>0</v>
      </c>
      <c r="K1245" t="b" s="4">
        <v>0</v>
      </c>
    </row>
    <row r="1246" ht="17" customHeight="1">
      <c r="A1246" s="4">
        <v>973</v>
      </c>
      <c r="B1246" s="5">
        <v>42036</v>
      </c>
      <c r="C1246" t="s" s="3">
        <v>635</v>
      </c>
      <c r="D1246" t="s" s="3">
        <v>592</v>
      </c>
      <c r="E1246" s="25">
        <v>1406800</v>
      </c>
      <c r="F1246" s="6">
        <f>E1246*0.19</f>
        <v>267292</v>
      </c>
      <c r="G1246" s="6">
        <f>E1246+F1246</f>
        <v>1674092</v>
      </c>
      <c r="H1246" s="7">
        <f>IF(J1246=TRUE(),E1246,0)</f>
        <v>0</v>
      </c>
      <c r="I1246" s="7">
        <f>IF(K1246=TRUE(),E1246,0)</f>
        <v>0</v>
      </c>
      <c r="J1246" t="b" s="4">
        <v>0</v>
      </c>
      <c r="K1246" t="b" s="4">
        <v>0</v>
      </c>
    </row>
    <row r="1247" ht="17.5" customHeight="1">
      <c r="A1247" s="9">
        <v>974</v>
      </c>
      <c r="B1247" s="5">
        <v>42036</v>
      </c>
      <c r="C1247" t="s" s="10">
        <v>42</v>
      </c>
      <c r="D1247" t="s" s="10">
        <v>592</v>
      </c>
      <c r="E1247" s="26">
        <v>327200</v>
      </c>
      <c r="F1247" s="11">
        <f>E1247*0.19</f>
        <v>62168</v>
      </c>
      <c r="G1247" s="11">
        <f>E1247+F1247</f>
        <v>389368</v>
      </c>
      <c r="H1247" s="12">
        <f>IF(J1247=TRUE(),E1247,0)</f>
        <v>0</v>
      </c>
      <c r="I1247" s="12">
        <f>IF(K1247=TRUE(),E1247,0)</f>
        <v>0</v>
      </c>
      <c r="J1247" t="b" s="9">
        <v>0</v>
      </c>
      <c r="K1247" t="b" s="9">
        <v>0</v>
      </c>
    </row>
    <row r="1248" ht="18" customHeight="1">
      <c r="A1248" s="13">
        <f>COUNT(A1244:A1247)</f>
        <v>4</v>
      </c>
      <c r="B1248" t="s" s="3">
        <v>636</v>
      </c>
      <c r="C1248" t="s" s="14">
        <v>7</v>
      </c>
      <c r="D1248" s="14"/>
      <c r="E1248" s="15">
        <f>SUM(E1244:E1247)</f>
        <v>3573300</v>
      </c>
      <c r="F1248" s="15">
        <f>SUM(F1244:F1247)</f>
        <v>678927</v>
      </c>
      <c r="G1248" s="16">
        <f>SUM(G1244:G1247)</f>
        <v>4252227</v>
      </c>
      <c r="H1248" s="17">
        <f>SUM(H1244:H1247)</f>
        <v>0</v>
      </c>
      <c r="I1248" s="17"/>
      <c r="J1248" s="18">
        <f>COUNTIF(J1244:J1247,TRUE())</f>
        <v>0</v>
      </c>
      <c r="K1248" s="19"/>
    </row>
    <row r="1249" ht="17.5" customHeight="1">
      <c r="A1249" s="20"/>
      <c r="B1249" s="3"/>
      <c r="C1249" s="20"/>
      <c r="D1249" s="21"/>
      <c r="E1249" s="24"/>
      <c r="F1249" s="24"/>
      <c r="G1249" s="24"/>
      <c r="H1249" s="22"/>
      <c r="I1249" s="22"/>
      <c r="J1249" s="20"/>
      <c r="K1249" s="20"/>
    </row>
    <row r="1250" ht="17" customHeight="1">
      <c r="A1250" t="s" s="3">
        <v>1</v>
      </c>
      <c r="B1250" t="s" s="3">
        <v>2</v>
      </c>
      <c r="C1250" t="s" s="3">
        <v>3</v>
      </c>
      <c r="D1250" t="s" s="3">
        <v>4</v>
      </c>
      <c r="E1250" t="s" s="3">
        <v>5</v>
      </c>
      <c r="F1250" t="s" s="3">
        <v>6</v>
      </c>
      <c r="G1250" t="s" s="3">
        <v>7</v>
      </c>
      <c r="H1250" s="7"/>
      <c r="I1250" s="7"/>
      <c r="J1250" s="8"/>
      <c r="K1250" s="8"/>
    </row>
    <row r="1251" ht="17.5" customHeight="1">
      <c r="A1251" s="27"/>
      <c r="B1251" s="5"/>
      <c r="C1251" s="27"/>
      <c r="D1251" s="10"/>
      <c r="E1251" s="26">
        <v>0</v>
      </c>
      <c r="F1251" s="11">
        <f>E1251*0.19</f>
        <v>0</v>
      </c>
      <c r="G1251" s="11">
        <f>E1251+F1251</f>
        <v>0</v>
      </c>
      <c r="H1251" s="12"/>
      <c r="I1251" s="12">
        <f>IF(K1251=TRUE(),E1251,0)</f>
        <v>0</v>
      </c>
      <c r="J1251" t="b" s="9">
        <v>0</v>
      </c>
      <c r="K1251" t="b" s="9">
        <v>0</v>
      </c>
    </row>
    <row r="1252" ht="18" customHeight="1">
      <c r="A1252" s="13">
        <f>COUNT(A1251)</f>
        <v>0</v>
      </c>
      <c r="B1252" t="s" s="3">
        <v>637</v>
      </c>
      <c r="C1252" t="s" s="14">
        <v>7</v>
      </c>
      <c r="D1252" s="14"/>
      <c r="E1252" s="15">
        <f>SUM(E1251)</f>
        <v>0</v>
      </c>
      <c r="F1252" s="15">
        <f>SUM(F1251)</f>
        <v>0</v>
      </c>
      <c r="G1252" s="16">
        <f>SUM(G1251)</f>
        <v>0</v>
      </c>
      <c r="H1252" s="17">
        <f>SUM(H1251)</f>
        <v>0</v>
      </c>
      <c r="I1252" s="17"/>
      <c r="J1252" s="18">
        <f>COUNTIF(J1251,TRUE())</f>
        <v>0</v>
      </c>
      <c r="K1252" s="19"/>
    </row>
    <row r="1253" ht="17.5" customHeight="1">
      <c r="A1253" s="20"/>
      <c r="B1253" s="3"/>
      <c r="C1253" s="20"/>
      <c r="D1253" s="21"/>
      <c r="E1253" s="24"/>
      <c r="F1253" s="24"/>
      <c r="G1253" s="24"/>
      <c r="H1253" s="22"/>
      <c r="I1253" s="22"/>
      <c r="J1253" s="20"/>
      <c r="K1253" s="20"/>
    </row>
    <row r="1254" ht="17" customHeight="1">
      <c r="A1254" t="s" s="3">
        <v>1</v>
      </c>
      <c r="B1254" t="s" s="3">
        <v>2</v>
      </c>
      <c r="C1254" t="s" s="3">
        <v>3</v>
      </c>
      <c r="D1254" t="s" s="3">
        <v>4</v>
      </c>
      <c r="E1254" t="s" s="3">
        <v>5</v>
      </c>
      <c r="F1254" t="s" s="3">
        <v>6</v>
      </c>
      <c r="G1254" t="s" s="3">
        <v>7</v>
      </c>
      <c r="H1254" s="7"/>
      <c r="I1254" s="7"/>
      <c r="J1254" s="8"/>
      <c r="K1254" s="8"/>
    </row>
    <row r="1255" ht="17" customHeight="1">
      <c r="A1255" t="s" s="3">
        <v>638</v>
      </c>
      <c r="B1255" s="5">
        <v>42095</v>
      </c>
      <c r="C1255" t="s" s="3">
        <v>420</v>
      </c>
      <c r="D1255" t="s" s="3">
        <v>639</v>
      </c>
      <c r="E1255" s="25">
        <v>2309548</v>
      </c>
      <c r="F1255" s="6">
        <f>E1255*0.19</f>
        <v>438814.12</v>
      </c>
      <c r="G1255" s="6">
        <f>E1255+F1255</f>
        <v>2748362.12</v>
      </c>
      <c r="H1255" s="7">
        <f>IF(J1255=TRUE(),E1255,0)</f>
        <v>2309548</v>
      </c>
      <c r="I1255" s="7">
        <f>IF(K1255=TRUE(),E1255,0)</f>
        <v>0</v>
      </c>
      <c r="J1255" t="b" s="4">
        <v>1</v>
      </c>
      <c r="K1255" t="b" s="4">
        <v>0</v>
      </c>
    </row>
    <row r="1256" ht="17" customHeight="1">
      <c r="A1256" t="s" s="3">
        <v>640</v>
      </c>
      <c r="B1256" s="5">
        <v>42095</v>
      </c>
      <c r="C1256" t="s" s="3">
        <v>298</v>
      </c>
      <c r="D1256" t="s" s="3">
        <v>639</v>
      </c>
      <c r="E1256" s="25">
        <v>1032270</v>
      </c>
      <c r="F1256" s="6">
        <f>E1256*0.19</f>
        <v>196131.3</v>
      </c>
      <c r="G1256" s="6">
        <f>E1256+F1256</f>
        <v>1228401.3</v>
      </c>
      <c r="H1256" s="7">
        <f>IF(J1256=TRUE(),E1256,0)</f>
        <v>1032270</v>
      </c>
      <c r="I1256" s="7">
        <f>IF(K1256=TRUE(),E1256,0)</f>
        <v>0</v>
      </c>
      <c r="J1256" t="b" s="4">
        <v>1</v>
      </c>
      <c r="K1256" t="b" s="4">
        <v>0</v>
      </c>
    </row>
    <row r="1257" ht="17.5" customHeight="1">
      <c r="A1257" t="s" s="10">
        <v>641</v>
      </c>
      <c r="B1257" s="5">
        <v>42095</v>
      </c>
      <c r="C1257" t="s" s="10">
        <v>357</v>
      </c>
      <c r="D1257" t="s" s="10">
        <v>642</v>
      </c>
      <c r="E1257" s="26">
        <v>1039537</v>
      </c>
      <c r="F1257" s="11">
        <f>E1257*0.19</f>
        <v>197512.03</v>
      </c>
      <c r="G1257" s="11">
        <f>E1257+F1257</f>
        <v>1237049.03</v>
      </c>
      <c r="H1257" s="12">
        <f>IF(J1257=TRUE(),E1257,0)</f>
        <v>1039537</v>
      </c>
      <c r="I1257" s="12">
        <f>IF(K1257=TRUE(),E1257,0)</f>
        <v>0</v>
      </c>
      <c r="J1257" t="b" s="9">
        <v>1</v>
      </c>
      <c r="K1257" t="b" s="9">
        <v>0</v>
      </c>
    </row>
    <row r="1258" ht="18" customHeight="1">
      <c r="A1258" s="13">
        <v>3</v>
      </c>
      <c r="B1258" t="s" s="3">
        <v>643</v>
      </c>
      <c r="C1258" t="s" s="14">
        <v>7</v>
      </c>
      <c r="D1258" s="14"/>
      <c r="E1258" s="15">
        <f>SUM(E1255:E1257)</f>
        <v>4381355</v>
      </c>
      <c r="F1258" s="15">
        <f>SUM(F1255:F1257)</f>
        <v>832457.45</v>
      </c>
      <c r="G1258" s="16">
        <f>SUM(G1255:G1257)</f>
        <v>5213812.45</v>
      </c>
      <c r="H1258" s="17">
        <f>SUM(H1255:H1257)</f>
        <v>4381355</v>
      </c>
      <c r="I1258" s="17"/>
      <c r="J1258" s="18">
        <f>COUNTIF(J1255:J1257,TRUE())</f>
        <v>3</v>
      </c>
      <c r="K1258" s="19"/>
    </row>
    <row r="1259" ht="17.5" customHeight="1">
      <c r="A1259" s="20"/>
      <c r="B1259" s="3"/>
      <c r="C1259" s="20"/>
      <c r="D1259" s="21"/>
      <c r="E1259" s="24"/>
      <c r="F1259" s="24"/>
      <c r="G1259" s="24"/>
      <c r="H1259" s="22"/>
      <c r="I1259" s="22"/>
      <c r="J1259" s="20"/>
      <c r="K1259" s="20"/>
    </row>
    <row r="1260" ht="17" customHeight="1">
      <c r="A1260" t="s" s="3">
        <v>1</v>
      </c>
      <c r="B1260" t="s" s="3">
        <v>2</v>
      </c>
      <c r="C1260" t="s" s="3">
        <v>3</v>
      </c>
      <c r="D1260" t="s" s="3">
        <v>4</v>
      </c>
      <c r="E1260" t="s" s="3">
        <v>5</v>
      </c>
      <c r="F1260" t="s" s="3">
        <v>6</v>
      </c>
      <c r="G1260" t="s" s="3">
        <v>7</v>
      </c>
      <c r="H1260" s="7"/>
      <c r="I1260" s="7"/>
      <c r="J1260" s="8"/>
      <c r="K1260" s="8"/>
    </row>
    <row r="1261" ht="17" customHeight="1">
      <c r="A1261" t="s" s="3">
        <v>644</v>
      </c>
      <c r="B1261" s="5">
        <v>42125</v>
      </c>
      <c r="C1261" t="s" s="3">
        <v>532</v>
      </c>
      <c r="D1261" t="s" s="3">
        <v>645</v>
      </c>
      <c r="E1261" s="25">
        <v>788000</v>
      </c>
      <c r="F1261" s="6">
        <f>E1261*0.19</f>
        <v>149720</v>
      </c>
      <c r="G1261" s="6">
        <f>E1261+F1261</f>
        <v>937720</v>
      </c>
      <c r="H1261" s="7">
        <f>IF(J1261=TRUE(),E1261,0)</f>
        <v>788000</v>
      </c>
      <c r="I1261" s="7">
        <f>IF(K1261=TRUE(),E1261,0)</f>
        <v>0</v>
      </c>
      <c r="J1261" t="b" s="4">
        <v>1</v>
      </c>
      <c r="K1261" t="b" s="4">
        <v>0</v>
      </c>
    </row>
    <row r="1262" ht="17" customHeight="1">
      <c r="A1262" t="s" s="3">
        <v>646</v>
      </c>
      <c r="B1262" s="5">
        <v>42125</v>
      </c>
      <c r="C1262" t="s" s="3">
        <v>420</v>
      </c>
      <c r="D1262" t="s" s="3">
        <v>645</v>
      </c>
      <c r="E1262" s="25">
        <v>492500</v>
      </c>
      <c r="F1262" s="6">
        <f>E1262*0.19</f>
        <v>93575</v>
      </c>
      <c r="G1262" s="6">
        <f>E1262+F1262</f>
        <v>586075</v>
      </c>
      <c r="H1262" s="7">
        <f>IF(J1262=TRUE(),E1262,0)</f>
        <v>492500</v>
      </c>
      <c r="I1262" s="7">
        <f>IF(K1262=TRUE(),E1262,0)</f>
        <v>0</v>
      </c>
      <c r="J1262" t="b" s="4">
        <v>1</v>
      </c>
      <c r="K1262" t="b" s="4">
        <v>0</v>
      </c>
    </row>
    <row r="1263" ht="17" customHeight="1">
      <c r="A1263" t="s" s="3">
        <v>647</v>
      </c>
      <c r="B1263" s="5">
        <v>42125</v>
      </c>
      <c r="C1263" t="s" s="3">
        <v>253</v>
      </c>
      <c r="D1263" t="s" s="3">
        <v>642</v>
      </c>
      <c r="E1263" s="25">
        <v>1039537</v>
      </c>
      <c r="F1263" s="6">
        <f>E1263*0.19</f>
        <v>197512.03</v>
      </c>
      <c r="G1263" s="6">
        <f>E1263+F1263</f>
        <v>1237049.03</v>
      </c>
      <c r="H1263" s="7">
        <f>IF(J1263=TRUE(),E1263,0)</f>
        <v>1039537</v>
      </c>
      <c r="I1263" s="7">
        <f>IF(K1263=TRUE(),E1263,0)</f>
        <v>0</v>
      </c>
      <c r="J1263" t="b" s="4">
        <v>1</v>
      </c>
      <c r="K1263" t="b" s="4">
        <v>0</v>
      </c>
    </row>
    <row r="1264" ht="17.5" customHeight="1">
      <c r="A1264" t="s" s="10">
        <v>648</v>
      </c>
      <c r="B1264" s="5">
        <v>42125</v>
      </c>
      <c r="C1264" t="s" s="10">
        <v>26</v>
      </c>
      <c r="D1264" t="s" s="10">
        <v>649</v>
      </c>
      <c r="E1264" s="11">
        <v>1116902</v>
      </c>
      <c r="F1264" s="26">
        <v>212211</v>
      </c>
      <c r="G1264" s="26">
        <v>1329114</v>
      </c>
      <c r="H1264" s="12">
        <f>IF(J1264=TRUE(),E1264,0)</f>
        <v>1116902</v>
      </c>
      <c r="I1264" s="12">
        <f>IF(K1264=TRUE(),E1264,0)</f>
        <v>0</v>
      </c>
      <c r="J1264" t="b" s="28">
        <v>1</v>
      </c>
      <c r="K1264" t="b" s="28">
        <v>0</v>
      </c>
    </row>
    <row r="1265" ht="18" customHeight="1">
      <c r="A1265" s="13">
        <v>4</v>
      </c>
      <c r="B1265" t="s" s="3">
        <v>650</v>
      </c>
      <c r="C1265" t="s" s="14">
        <v>7</v>
      </c>
      <c r="D1265" s="14"/>
      <c r="E1265" s="15">
        <f>SUM(E1261:E1264)</f>
        <v>3436939</v>
      </c>
      <c r="F1265" s="15">
        <f>SUM(F1261:F1264)</f>
        <v>653018.03</v>
      </c>
      <c r="G1265" s="16">
        <f>SUM(G1261:G1264)</f>
        <v>4089958.03</v>
      </c>
      <c r="H1265" s="17">
        <f>SUM(H1261:H1264)</f>
        <v>3436939</v>
      </c>
      <c r="I1265" s="17"/>
      <c r="J1265" s="18">
        <f>COUNTIF(J1261:J1264,TRUE())</f>
        <v>4</v>
      </c>
      <c r="K1265" s="19"/>
    </row>
    <row r="1266" ht="17.5" customHeight="1">
      <c r="A1266" s="20"/>
      <c r="B1266" s="3"/>
      <c r="C1266" s="20"/>
      <c r="D1266" s="21"/>
      <c r="E1266" s="24"/>
      <c r="F1266" s="24"/>
      <c r="G1266" s="24"/>
      <c r="H1266" s="22"/>
      <c r="I1266" s="22"/>
      <c r="J1266" s="20"/>
      <c r="K1266" s="20"/>
    </row>
    <row r="1267" ht="17" customHeight="1">
      <c r="A1267" t="s" s="3">
        <v>1</v>
      </c>
      <c r="B1267" t="s" s="3">
        <v>2</v>
      </c>
      <c r="C1267" t="s" s="3">
        <v>3</v>
      </c>
      <c r="D1267" t="s" s="3">
        <v>4</v>
      </c>
      <c r="E1267" t="s" s="3">
        <v>5</v>
      </c>
      <c r="F1267" t="s" s="3">
        <v>6</v>
      </c>
      <c r="G1267" t="s" s="3">
        <v>7</v>
      </c>
      <c r="H1267" s="7"/>
      <c r="I1267" s="7"/>
      <c r="J1267" s="8"/>
      <c r="K1267" s="8"/>
    </row>
    <row r="1268" ht="17" customHeight="1">
      <c r="A1268" t="s" s="3">
        <v>651</v>
      </c>
      <c r="B1268" s="5">
        <v>42156</v>
      </c>
      <c r="C1268" t="s" s="3">
        <v>26</v>
      </c>
      <c r="D1268" t="s" s="3">
        <v>652</v>
      </c>
      <c r="E1268" s="25">
        <v>1793953</v>
      </c>
      <c r="F1268" s="6">
        <f>E1268*0.19</f>
        <v>340851.07</v>
      </c>
      <c r="G1268" s="6">
        <f>E1268+F1268</f>
        <v>2134804.07</v>
      </c>
      <c r="H1268" s="7">
        <f>IF(J1268=TRUE(),E1268,0)</f>
        <v>1793953</v>
      </c>
      <c r="I1268" s="7">
        <f>IF(K1268=TRUE(),E1268,0)</f>
        <v>0</v>
      </c>
      <c r="J1268" t="b" s="4">
        <v>1</v>
      </c>
      <c r="K1268" t="b" s="4">
        <v>0</v>
      </c>
    </row>
    <row r="1269" ht="17" customHeight="1">
      <c r="A1269" s="4">
        <v>988</v>
      </c>
      <c r="B1269" s="5">
        <v>42156</v>
      </c>
      <c r="C1269" t="s" s="3">
        <v>357</v>
      </c>
      <c r="D1269" t="s" s="3">
        <v>653</v>
      </c>
      <c r="E1269" s="6">
        <v>700337</v>
      </c>
      <c r="F1269" s="6">
        <f>E1269*0.19</f>
        <v>133064.03</v>
      </c>
      <c r="G1269" s="6">
        <f>E1269+F1269</f>
        <v>833401.03</v>
      </c>
      <c r="H1269" s="7">
        <f>IF(J1269=TRUE(),E1269,0)</f>
        <v>700337</v>
      </c>
      <c r="I1269" s="7">
        <f>IF(K1269=TRUE(),E1269,0)</f>
        <v>0</v>
      </c>
      <c r="J1269" t="b" s="4">
        <v>1</v>
      </c>
      <c r="K1269" t="b" s="4">
        <v>0</v>
      </c>
    </row>
    <row r="1270" ht="17" customHeight="1">
      <c r="A1270" s="4">
        <v>989</v>
      </c>
      <c r="B1270" s="5">
        <v>42156</v>
      </c>
      <c r="C1270" t="s" s="3">
        <v>420</v>
      </c>
      <c r="D1270" t="s" s="3">
        <v>654</v>
      </c>
      <c r="E1270" s="6">
        <v>297126</v>
      </c>
      <c r="F1270" s="6">
        <f>E1270*0.19</f>
        <v>56453.94</v>
      </c>
      <c r="G1270" s="6">
        <f>E1270+F1270</f>
        <v>353579.94</v>
      </c>
      <c r="H1270" s="7">
        <f>IF(J1270=TRUE(),E1270,0)</f>
        <v>297126</v>
      </c>
      <c r="I1270" s="7">
        <f>IF(K1270=TRUE(),E1270,0)</f>
        <v>0</v>
      </c>
      <c r="J1270" t="b" s="4">
        <v>1</v>
      </c>
      <c r="K1270" t="b" s="4">
        <v>0</v>
      </c>
    </row>
    <row r="1271" ht="17" customHeight="1">
      <c r="A1271" s="4">
        <v>990</v>
      </c>
      <c r="B1271" s="5">
        <v>42156</v>
      </c>
      <c r="C1271" t="s" s="3">
        <v>316</v>
      </c>
      <c r="D1271" t="s" s="3">
        <v>655</v>
      </c>
      <c r="E1271" s="6">
        <v>435376</v>
      </c>
      <c r="F1271" s="6">
        <f>E1271*0.19</f>
        <v>82721.44</v>
      </c>
      <c r="G1271" s="6">
        <f>E1271+F1271</f>
        <v>518097.44</v>
      </c>
      <c r="H1271" s="7">
        <f>IF(J1271=TRUE(),E1271,0)</f>
        <v>435376</v>
      </c>
      <c r="I1271" s="7">
        <f>IF(K1271=TRUE(),E1271,0)</f>
        <v>0</v>
      </c>
      <c r="J1271" t="b" s="4">
        <v>1</v>
      </c>
      <c r="K1271" t="b" s="4">
        <v>0</v>
      </c>
    </row>
    <row r="1272" ht="17" customHeight="1">
      <c r="A1272" s="4">
        <v>991</v>
      </c>
      <c r="B1272" s="5">
        <v>42156</v>
      </c>
      <c r="C1272" t="s" s="3">
        <v>298</v>
      </c>
      <c r="D1272" t="s" s="3">
        <v>656</v>
      </c>
      <c r="E1272" s="6">
        <v>543905</v>
      </c>
      <c r="F1272" s="6">
        <f>E1272*0.19</f>
        <v>103341.95</v>
      </c>
      <c r="G1272" s="6">
        <f>E1272+F1272</f>
        <v>647246.95</v>
      </c>
      <c r="H1272" s="7">
        <f>IF(J1272=TRUE(),E1272,0)</f>
        <v>543905</v>
      </c>
      <c r="I1272" s="7">
        <f>IF(K1272=TRUE(),E1272,0)</f>
        <v>0</v>
      </c>
      <c r="J1272" t="b" s="4">
        <v>1</v>
      </c>
      <c r="K1272" t="b" s="4">
        <v>0</v>
      </c>
    </row>
    <row r="1273" ht="17" customHeight="1">
      <c r="A1273" s="4">
        <v>992</v>
      </c>
      <c r="B1273" s="5">
        <v>42156</v>
      </c>
      <c r="C1273" t="s" s="3">
        <v>316</v>
      </c>
      <c r="D1273" t="s" s="3">
        <v>657</v>
      </c>
      <c r="E1273" s="4">
        <v>284000</v>
      </c>
      <c r="F1273" s="6">
        <f>E1273*0.19</f>
        <v>53960</v>
      </c>
      <c r="G1273" s="6">
        <f>E1273+F1273</f>
        <v>337960</v>
      </c>
      <c r="H1273" s="7">
        <f>IF(J1273=TRUE(),E1273,0)</f>
        <v>284000</v>
      </c>
      <c r="I1273" s="7">
        <f>IF(K1273=TRUE(),E1273,0)</f>
        <v>0</v>
      </c>
      <c r="J1273" t="b" s="4">
        <v>1</v>
      </c>
      <c r="K1273" t="b" s="4">
        <v>0</v>
      </c>
    </row>
    <row r="1274" ht="17" customHeight="1">
      <c r="A1274" s="4">
        <v>993</v>
      </c>
      <c r="B1274" s="5">
        <v>42156</v>
      </c>
      <c r="C1274" t="s" s="3">
        <v>658</v>
      </c>
      <c r="D1274" t="s" s="3">
        <v>467</v>
      </c>
      <c r="E1274" s="6">
        <v>366000</v>
      </c>
      <c r="F1274" s="6">
        <f>E1274*0.19</f>
        <v>69540</v>
      </c>
      <c r="G1274" s="6">
        <f>E1274+F1274</f>
        <v>435540</v>
      </c>
      <c r="H1274" s="7">
        <f>IF(J1274=TRUE(),E1274,0)</f>
        <v>0</v>
      </c>
      <c r="I1274" s="7">
        <f>IF(K1274=TRUE(),E1274,0)</f>
        <v>0</v>
      </c>
      <c r="J1274" t="b" s="4">
        <v>0</v>
      </c>
      <c r="K1274" t="b" s="4">
        <v>0</v>
      </c>
    </row>
    <row r="1275" ht="17" customHeight="1">
      <c r="A1275" s="4">
        <v>994</v>
      </c>
      <c r="B1275" s="5">
        <v>42156</v>
      </c>
      <c r="C1275" t="s" s="3">
        <v>60</v>
      </c>
      <c r="D1275" t="s" s="3">
        <v>659</v>
      </c>
      <c r="E1275" s="6">
        <v>1177600</v>
      </c>
      <c r="F1275" s="6">
        <f>E1275*0.19</f>
        <v>223744</v>
      </c>
      <c r="G1275" s="6">
        <f>E1275+F1275</f>
        <v>1401344</v>
      </c>
      <c r="H1275" s="7">
        <f>IF(J1275=TRUE(),E1275,0)</f>
        <v>0</v>
      </c>
      <c r="I1275" s="7">
        <f>IF(K1275=TRUE(),E1275,0)</f>
        <v>0</v>
      </c>
      <c r="J1275" t="b" s="4">
        <v>0</v>
      </c>
      <c r="K1275" t="b" s="4">
        <v>0</v>
      </c>
    </row>
    <row r="1276" ht="17" customHeight="1">
      <c r="A1276" s="4">
        <v>995</v>
      </c>
      <c r="B1276" s="5">
        <v>42156</v>
      </c>
      <c r="C1276" t="s" s="3">
        <v>42</v>
      </c>
      <c r="D1276" t="s" s="3">
        <v>660</v>
      </c>
      <c r="E1276" s="6">
        <v>404404</v>
      </c>
      <c r="F1276" s="6">
        <f>E1276*0.19</f>
        <v>76836.759999999995</v>
      </c>
      <c r="G1276" s="6">
        <f>E1276+F1276</f>
        <v>481240.76</v>
      </c>
      <c r="H1276" s="7">
        <f>IF(J1276=TRUE(),E1276,0)</f>
        <v>404404</v>
      </c>
      <c r="I1276" s="7">
        <f>IF(K1276=TRUE(),E1276,0)</f>
        <v>0</v>
      </c>
      <c r="J1276" t="b" s="4">
        <v>1</v>
      </c>
      <c r="K1276" t="b" s="4">
        <v>0</v>
      </c>
    </row>
    <row r="1277" ht="17" customHeight="1">
      <c r="A1277" s="4">
        <v>996</v>
      </c>
      <c r="B1277" s="5">
        <v>42156</v>
      </c>
      <c r="C1277" t="s" s="3">
        <v>42</v>
      </c>
      <c r="D1277" t="s" s="3">
        <v>661</v>
      </c>
      <c r="E1277" s="6">
        <v>404274</v>
      </c>
      <c r="F1277" s="6">
        <f>E1277*0.19</f>
        <v>76812.06</v>
      </c>
      <c r="G1277" s="6">
        <f>E1277+F1277</f>
        <v>481086.06</v>
      </c>
      <c r="H1277" s="7">
        <f>IF(J1277=TRUE(),E1277,0)</f>
        <v>404274</v>
      </c>
      <c r="I1277" s="7">
        <f>IF(K1277=TRUE(),E1277,0)</f>
        <v>0</v>
      </c>
      <c r="J1277" t="b" s="4">
        <v>1</v>
      </c>
      <c r="K1277" t="b" s="4">
        <v>0</v>
      </c>
    </row>
    <row r="1278" ht="17" customHeight="1">
      <c r="A1278" s="4">
        <v>997</v>
      </c>
      <c r="B1278" s="5">
        <v>42156</v>
      </c>
      <c r="C1278" t="s" s="3">
        <v>42</v>
      </c>
      <c r="D1278" t="s" s="3">
        <v>662</v>
      </c>
      <c r="E1278" s="6">
        <v>452871</v>
      </c>
      <c r="F1278" s="6">
        <f>E1278*0.19</f>
        <v>86045.490000000005</v>
      </c>
      <c r="G1278" s="6">
        <f>E1278+F1278</f>
        <v>538916.49</v>
      </c>
      <c r="H1278" s="7">
        <f>IF(J1278=TRUE(),E1278,0)</f>
        <v>452871</v>
      </c>
      <c r="I1278" s="7">
        <f>IF(K1278=TRUE(),E1278,0)</f>
        <v>0</v>
      </c>
      <c r="J1278" t="b" s="4">
        <v>1</v>
      </c>
      <c r="K1278" t="b" s="4">
        <v>0</v>
      </c>
    </row>
    <row r="1279" ht="17" customHeight="1">
      <c r="A1279" s="4">
        <v>998</v>
      </c>
      <c r="B1279" s="5">
        <v>42156</v>
      </c>
      <c r="C1279" t="s" s="3">
        <v>42</v>
      </c>
      <c r="D1279" t="s" s="3">
        <v>663</v>
      </c>
      <c r="E1279" s="6">
        <v>455331</v>
      </c>
      <c r="F1279" s="6">
        <f>E1279*0.19</f>
        <v>86512.89</v>
      </c>
      <c r="G1279" s="6">
        <f>E1279+F1279</f>
        <v>541843.89</v>
      </c>
      <c r="H1279" s="7">
        <f>IF(J1279=TRUE(),E1279,0)</f>
        <v>455331</v>
      </c>
      <c r="I1279" s="7">
        <f>IF(K1279=TRUE(),E1279,0)</f>
        <v>0</v>
      </c>
      <c r="J1279" t="b" s="4">
        <v>1</v>
      </c>
      <c r="K1279" t="b" s="4">
        <v>0</v>
      </c>
    </row>
    <row r="1280" ht="17" customHeight="1">
      <c r="A1280" s="4">
        <v>999</v>
      </c>
      <c r="B1280" s="5">
        <v>42156</v>
      </c>
      <c r="C1280" t="s" s="3">
        <v>42</v>
      </c>
      <c r="D1280" t="s" s="3">
        <v>664</v>
      </c>
      <c r="E1280" s="6">
        <v>458087</v>
      </c>
      <c r="F1280" s="6">
        <f>E1280*0.19</f>
        <v>87036.53</v>
      </c>
      <c r="G1280" s="6">
        <f>E1280+F1280</f>
        <v>545123.53</v>
      </c>
      <c r="H1280" s="7">
        <f>IF(J1280=TRUE(),E1280,0)</f>
        <v>458087</v>
      </c>
      <c r="I1280" s="7">
        <f>IF(K1280=TRUE(),E1280,0)</f>
        <v>0</v>
      </c>
      <c r="J1280" t="b" s="4">
        <v>1</v>
      </c>
      <c r="K1280" t="b" s="4">
        <v>0</v>
      </c>
    </row>
    <row r="1281" ht="17" customHeight="1">
      <c r="A1281" s="4">
        <v>1000</v>
      </c>
      <c r="B1281" s="5">
        <v>42156</v>
      </c>
      <c r="C1281" t="s" s="3">
        <v>60</v>
      </c>
      <c r="D1281" t="s" s="3">
        <v>660</v>
      </c>
      <c r="E1281" s="6">
        <v>65314</v>
      </c>
      <c r="F1281" s="6">
        <f>E1281*0.19</f>
        <v>12409.66</v>
      </c>
      <c r="G1281" s="6">
        <f>E1281+F1281</f>
        <v>77723.66</v>
      </c>
      <c r="H1281" s="7">
        <f>IF(J1281=TRUE(),E1281,0)</f>
        <v>65314</v>
      </c>
      <c r="I1281" s="7">
        <f>IF(K1281=TRUE(),E1281,0)</f>
        <v>0</v>
      </c>
      <c r="J1281" t="b" s="4">
        <v>1</v>
      </c>
      <c r="K1281" t="b" s="4">
        <v>0</v>
      </c>
    </row>
    <row r="1282" ht="17" customHeight="1">
      <c r="A1282" s="4">
        <v>1001</v>
      </c>
      <c r="B1282" s="5">
        <v>42156</v>
      </c>
      <c r="C1282" t="s" s="3">
        <v>60</v>
      </c>
      <c r="D1282" t="s" s="3">
        <v>661</v>
      </c>
      <c r="E1282" s="6">
        <v>65293</v>
      </c>
      <c r="F1282" s="6">
        <f>E1282*0.19</f>
        <v>12405.67</v>
      </c>
      <c r="G1282" s="6">
        <f>E1282+F1282</f>
        <v>77698.67</v>
      </c>
      <c r="H1282" s="7">
        <f>IF(J1282=TRUE(),E1282,0)</f>
        <v>65293</v>
      </c>
      <c r="I1282" s="7">
        <f>IF(K1282=TRUE(),E1282,0)</f>
        <v>0</v>
      </c>
      <c r="J1282" t="b" s="4">
        <v>1</v>
      </c>
      <c r="K1282" t="b" s="4">
        <v>0</v>
      </c>
    </row>
    <row r="1283" ht="17" customHeight="1">
      <c r="A1283" s="4">
        <v>1002</v>
      </c>
      <c r="B1283" s="5">
        <v>42156</v>
      </c>
      <c r="C1283" t="s" s="3">
        <v>60</v>
      </c>
      <c r="D1283" t="s" s="3">
        <v>665</v>
      </c>
      <c r="E1283" s="6">
        <v>197625</v>
      </c>
      <c r="F1283" s="6">
        <f>E1283*0.19</f>
        <v>37548.75</v>
      </c>
      <c r="G1283" s="6">
        <f>E1283+F1283</f>
        <v>235173.75</v>
      </c>
      <c r="H1283" s="7">
        <f>IF(J1283=TRUE(),E1283,0)</f>
        <v>197625</v>
      </c>
      <c r="I1283" s="7">
        <f>IF(K1283=TRUE(),E1283,0)</f>
        <v>0</v>
      </c>
      <c r="J1283" t="b" s="4">
        <v>1</v>
      </c>
      <c r="K1283" t="b" s="4">
        <v>0</v>
      </c>
    </row>
    <row r="1284" ht="17" customHeight="1">
      <c r="A1284" s="4">
        <v>1003</v>
      </c>
      <c r="B1284" s="5">
        <v>42156</v>
      </c>
      <c r="C1284" t="s" s="3">
        <v>34</v>
      </c>
      <c r="D1284" t="s" s="3">
        <v>666</v>
      </c>
      <c r="E1284" s="6">
        <v>210640</v>
      </c>
      <c r="F1284" s="6">
        <f>E1284*0.19</f>
        <v>40021.6</v>
      </c>
      <c r="G1284" s="6">
        <f>E1284+F1284</f>
        <v>250661.6</v>
      </c>
      <c r="H1284" s="7">
        <f>IF(J1284=TRUE(),E1284,0)</f>
        <v>210640</v>
      </c>
      <c r="I1284" s="7">
        <f>IF(K1284=TRUE(),E1284,0)</f>
        <v>0</v>
      </c>
      <c r="J1284" t="b" s="4">
        <v>1</v>
      </c>
      <c r="K1284" t="b" s="4">
        <v>0</v>
      </c>
    </row>
    <row r="1285" ht="17" customHeight="1">
      <c r="A1285" s="4">
        <v>1004</v>
      </c>
      <c r="B1285" s="5">
        <v>42156</v>
      </c>
      <c r="C1285" t="s" s="3">
        <v>34</v>
      </c>
      <c r="D1285" t="s" s="3">
        <v>665</v>
      </c>
      <c r="E1285" s="6">
        <v>318726</v>
      </c>
      <c r="F1285" s="6">
        <f>E1285*0.19</f>
        <v>60557.94</v>
      </c>
      <c r="G1285" s="6">
        <f>E1285+F1285</f>
        <v>379283.94</v>
      </c>
      <c r="H1285" s="7">
        <f>IF(J1285=TRUE(),E1285,0)</f>
        <v>318726</v>
      </c>
      <c r="I1285" s="7">
        <f>IF(K1285=TRUE(),E1285,0)</f>
        <v>0</v>
      </c>
      <c r="J1285" t="b" s="4">
        <v>1</v>
      </c>
      <c r="K1285" t="b" s="4">
        <v>0</v>
      </c>
    </row>
    <row r="1286" ht="17" customHeight="1">
      <c r="A1286" s="4">
        <v>1005</v>
      </c>
      <c r="B1286" s="5">
        <v>42156</v>
      </c>
      <c r="C1286" t="s" s="3">
        <v>384</v>
      </c>
      <c r="D1286" t="s" s="3">
        <v>666</v>
      </c>
      <c r="E1286" s="6">
        <v>85925</v>
      </c>
      <c r="F1286" s="6">
        <f>E1286*0.19</f>
        <v>16325.75</v>
      </c>
      <c r="G1286" s="6">
        <f>E1286+F1286</f>
        <v>102250.75</v>
      </c>
      <c r="H1286" s="7">
        <f>IF(J1286=TRUE(),E1286,0)</f>
        <v>85925</v>
      </c>
      <c r="I1286" s="7">
        <f>IF(K1286=TRUE(),E1286,0)</f>
        <v>0</v>
      </c>
      <c r="J1286" t="b" s="4">
        <v>1</v>
      </c>
      <c r="K1286" t="b" s="4">
        <v>0</v>
      </c>
    </row>
    <row r="1287" ht="17" customHeight="1">
      <c r="A1287" s="4">
        <v>1006</v>
      </c>
      <c r="B1287" s="5">
        <v>42156</v>
      </c>
      <c r="C1287" t="s" s="3">
        <v>384</v>
      </c>
      <c r="D1287" t="s" s="3">
        <v>665</v>
      </c>
      <c r="E1287" s="6">
        <v>130016</v>
      </c>
      <c r="F1287" s="6">
        <f>E1287*0.19</f>
        <v>24703.04</v>
      </c>
      <c r="G1287" s="6">
        <f>E1287+F1287</f>
        <v>154719.04</v>
      </c>
      <c r="H1287" s="7">
        <f>IF(J1287=TRUE(),E1287,0)</f>
        <v>130016</v>
      </c>
      <c r="I1287" s="7">
        <f>IF(K1287=TRUE(),E1287,0)</f>
        <v>0</v>
      </c>
      <c r="J1287" t="b" s="4">
        <v>1</v>
      </c>
      <c r="K1287" t="b" s="4">
        <v>0</v>
      </c>
    </row>
    <row r="1288" ht="17" customHeight="1">
      <c r="A1288" s="4">
        <v>1007</v>
      </c>
      <c r="B1288" s="5">
        <v>42156</v>
      </c>
      <c r="C1288" t="s" s="3">
        <v>620</v>
      </c>
      <c r="D1288" t="s" s="3">
        <v>666</v>
      </c>
      <c r="E1288" s="6">
        <v>85925</v>
      </c>
      <c r="F1288" s="6">
        <f>E1288*0.19</f>
        <v>16325.75</v>
      </c>
      <c r="G1288" s="6">
        <f>E1288+F1288</f>
        <v>102250.75</v>
      </c>
      <c r="H1288" s="7">
        <f>IF(J1288=TRUE(),E1288,0)</f>
        <v>85925</v>
      </c>
      <c r="I1288" s="7">
        <f>IF(K1288=TRUE(),E1288,0)</f>
        <v>0</v>
      </c>
      <c r="J1288" t="b" s="4">
        <v>1</v>
      </c>
      <c r="K1288" t="b" s="4">
        <v>0</v>
      </c>
    </row>
    <row r="1289" ht="17" customHeight="1">
      <c r="A1289" s="4">
        <v>1008</v>
      </c>
      <c r="B1289" s="5">
        <v>42156</v>
      </c>
      <c r="C1289" t="s" s="3">
        <v>620</v>
      </c>
      <c r="D1289" t="s" s="3">
        <v>665</v>
      </c>
      <c r="E1289" s="6">
        <v>130016</v>
      </c>
      <c r="F1289" s="6">
        <f>E1289*0.19</f>
        <v>24703.04</v>
      </c>
      <c r="G1289" s="6">
        <f>E1289+F1289</f>
        <v>154719.04</v>
      </c>
      <c r="H1289" s="7">
        <f>IF(J1289=TRUE(),E1289,0)</f>
        <v>130016</v>
      </c>
      <c r="I1289" s="7">
        <f>IF(K1289=TRUE(),E1289,0)</f>
        <v>0</v>
      </c>
      <c r="J1289" t="b" s="4">
        <v>1</v>
      </c>
      <c r="K1289" t="b" s="4">
        <v>0</v>
      </c>
    </row>
    <row r="1290" ht="17" customHeight="1">
      <c r="A1290" s="4">
        <v>1009</v>
      </c>
      <c r="B1290" s="5">
        <v>42156</v>
      </c>
      <c r="C1290" t="s" s="3">
        <v>634</v>
      </c>
      <c r="D1290" t="s" s="3">
        <v>666</v>
      </c>
      <c r="E1290" s="6">
        <v>114403</v>
      </c>
      <c r="F1290" s="6">
        <f>E1290*0.19</f>
        <v>21736.57</v>
      </c>
      <c r="G1290" s="6">
        <f>E1290+F1290</f>
        <v>136139.57</v>
      </c>
      <c r="H1290" s="7">
        <f>IF(J1290=TRUE(),E1290,0)</f>
        <v>114403</v>
      </c>
      <c r="I1290" s="7">
        <f>IF(K1290=TRUE(),E1290,0)</f>
        <v>0</v>
      </c>
      <c r="J1290" t="b" s="4">
        <v>1</v>
      </c>
      <c r="K1290" t="b" s="4">
        <v>0</v>
      </c>
    </row>
    <row r="1291" ht="17" customHeight="1">
      <c r="A1291" s="4">
        <v>1010</v>
      </c>
      <c r="B1291" s="5">
        <v>42156</v>
      </c>
      <c r="C1291" t="s" s="3">
        <v>634</v>
      </c>
      <c r="D1291" t="s" s="3">
        <v>665</v>
      </c>
      <c r="E1291" s="6">
        <v>173107</v>
      </c>
      <c r="F1291" s="6">
        <f>E1291*0.19</f>
        <v>32890.33</v>
      </c>
      <c r="G1291" s="6">
        <f>E1291+F1291</f>
        <v>205997.33</v>
      </c>
      <c r="H1291" s="7">
        <f>IF(J1291=TRUE(),E1291,0)</f>
        <v>173107</v>
      </c>
      <c r="I1291" s="7">
        <f>IF(K1291=TRUE(),E1291,0)</f>
        <v>0</v>
      </c>
      <c r="J1291" t="b" s="4">
        <v>1</v>
      </c>
      <c r="K1291" t="b" s="4">
        <v>0</v>
      </c>
    </row>
    <row r="1292" ht="17" customHeight="1">
      <c r="A1292" s="4">
        <v>1011</v>
      </c>
      <c r="B1292" s="5">
        <v>42156</v>
      </c>
      <c r="C1292" t="s" s="3">
        <v>591</v>
      </c>
      <c r="D1292" t="s" s="3">
        <v>666</v>
      </c>
      <c r="E1292" s="6">
        <v>57447</v>
      </c>
      <c r="F1292" s="6">
        <f>E1292*0.19</f>
        <v>10914.93</v>
      </c>
      <c r="G1292" s="6">
        <f>E1292+F1292</f>
        <v>68361.929999999993</v>
      </c>
      <c r="H1292" s="7">
        <f>IF(J1292=TRUE(),E1292,0)</f>
        <v>57447</v>
      </c>
      <c r="I1292" s="7">
        <f>IF(K1292=TRUE(),E1292,0)</f>
        <v>0</v>
      </c>
      <c r="J1292" t="b" s="4">
        <v>1</v>
      </c>
      <c r="K1292" t="b" s="4">
        <v>0</v>
      </c>
    </row>
    <row r="1293" ht="17" customHeight="1">
      <c r="A1293" s="4">
        <v>1012</v>
      </c>
      <c r="B1293" s="5">
        <v>42156</v>
      </c>
      <c r="C1293" t="s" s="3">
        <v>591</v>
      </c>
      <c r="D1293" t="s" s="3">
        <v>665</v>
      </c>
      <c r="E1293" s="6">
        <v>86925</v>
      </c>
      <c r="F1293" s="6">
        <f>E1293*0.19</f>
        <v>16515.75</v>
      </c>
      <c r="G1293" s="6">
        <f>E1293+F1293</f>
        <v>103440.75</v>
      </c>
      <c r="H1293" s="7">
        <f>IF(J1293=TRUE(),E1293,0)</f>
        <v>86925</v>
      </c>
      <c r="I1293" s="7">
        <f>IF(K1293=TRUE(),E1293,0)</f>
        <v>0</v>
      </c>
      <c r="J1293" t="b" s="4">
        <v>1</v>
      </c>
      <c r="K1293" t="b" s="4">
        <v>0</v>
      </c>
    </row>
    <row r="1294" ht="17" customHeight="1">
      <c r="A1294" s="4">
        <v>1013</v>
      </c>
      <c r="B1294" s="5">
        <v>42156</v>
      </c>
      <c r="C1294" t="s" s="3">
        <v>622</v>
      </c>
      <c r="D1294" t="s" s="3">
        <v>667</v>
      </c>
      <c r="E1294" s="6">
        <v>660000</v>
      </c>
      <c r="F1294" s="6">
        <f>E1294*0.19</f>
        <v>125400</v>
      </c>
      <c r="G1294" s="6">
        <f>E1294+F1294</f>
        <v>785400</v>
      </c>
      <c r="H1294" s="7">
        <f>IF(J1294=TRUE(),E1294,0)</f>
        <v>0</v>
      </c>
      <c r="I1294" s="7">
        <f>IF(K1294=TRUE(),E1294,0)</f>
        <v>0</v>
      </c>
      <c r="J1294" t="b" s="4">
        <v>0</v>
      </c>
      <c r="K1294" t="b" s="4">
        <v>0</v>
      </c>
    </row>
    <row r="1295" ht="17" customHeight="1">
      <c r="A1295" s="4">
        <v>1014</v>
      </c>
      <c r="B1295" s="5">
        <v>42156</v>
      </c>
      <c r="C1295" t="s" s="3">
        <v>668</v>
      </c>
      <c r="D1295" t="s" s="3">
        <v>669</v>
      </c>
      <c r="E1295" s="6">
        <v>641582</v>
      </c>
      <c r="F1295" s="6">
        <f>E1295*0.19</f>
        <v>121900.58</v>
      </c>
      <c r="G1295" s="6">
        <f>E1295+F1295</f>
        <v>763482.58</v>
      </c>
      <c r="H1295" s="7">
        <f>IF(J1295=TRUE(),E1295,0)</f>
        <v>641582</v>
      </c>
      <c r="I1295" s="7">
        <f>IF(K1295=TRUE(),E1295,0)</f>
        <v>0</v>
      </c>
      <c r="J1295" t="b" s="4">
        <v>1</v>
      </c>
      <c r="K1295" t="b" s="4">
        <v>0</v>
      </c>
    </row>
    <row r="1296" ht="17" customHeight="1">
      <c r="A1296" s="4">
        <v>1015</v>
      </c>
      <c r="B1296" s="5">
        <v>42156</v>
      </c>
      <c r="C1296" t="s" s="3">
        <v>668</v>
      </c>
      <c r="D1296" t="s" s="3">
        <v>670</v>
      </c>
      <c r="E1296" s="6">
        <v>175000</v>
      </c>
      <c r="F1296" s="6">
        <f>E1296*0.19</f>
        <v>33250</v>
      </c>
      <c r="G1296" s="6">
        <f>E1296+F1296</f>
        <v>208250</v>
      </c>
      <c r="H1296" s="7">
        <f>IF(J1296=TRUE(),E1296,0)</f>
        <v>0</v>
      </c>
      <c r="I1296" s="7">
        <f>IF(K1296=TRUE(),E1296,0)</f>
        <v>0</v>
      </c>
      <c r="J1296" t="b" s="4">
        <v>0</v>
      </c>
      <c r="K1296" t="b" s="4">
        <v>0</v>
      </c>
    </row>
    <row r="1297" ht="17" customHeight="1">
      <c r="A1297" s="4">
        <v>1016</v>
      </c>
      <c r="B1297" s="5">
        <v>42156</v>
      </c>
      <c r="C1297" t="s" s="3">
        <v>33</v>
      </c>
      <c r="D1297" t="s" s="3">
        <v>671</v>
      </c>
      <c r="E1297" s="6">
        <v>972649</v>
      </c>
      <c r="F1297" s="6">
        <f>E1297*0.19</f>
        <v>184803.31</v>
      </c>
      <c r="G1297" s="6">
        <f>E1297+F1297</f>
        <v>1157452.31</v>
      </c>
      <c r="H1297" s="7">
        <f>IF(J1297=TRUE(),E1297,0)</f>
        <v>972649</v>
      </c>
      <c r="I1297" s="7">
        <f>IF(K1297=TRUE(),E1297,0)</f>
        <v>0</v>
      </c>
      <c r="J1297" t="b" s="4">
        <v>1</v>
      </c>
      <c r="K1297" t="b" s="4">
        <v>0</v>
      </c>
    </row>
    <row r="1298" ht="17" customHeight="1">
      <c r="A1298" s="4">
        <v>1017</v>
      </c>
      <c r="B1298" s="5">
        <v>42156</v>
      </c>
      <c r="C1298" t="s" s="3">
        <v>33</v>
      </c>
      <c r="D1298" t="s" s="3">
        <v>672</v>
      </c>
      <c r="E1298" s="6">
        <v>621216</v>
      </c>
      <c r="F1298" s="6">
        <f>E1298*0.19</f>
        <v>118031.04</v>
      </c>
      <c r="G1298" s="6">
        <f>E1298+F1298</f>
        <v>739247.04</v>
      </c>
      <c r="H1298" s="7">
        <f>IF(J1298=TRUE(),E1298,0)</f>
        <v>621216</v>
      </c>
      <c r="I1298" s="7">
        <f>IF(K1298=TRUE(),E1298,0)</f>
        <v>0</v>
      </c>
      <c r="J1298" t="b" s="4">
        <v>1</v>
      </c>
      <c r="K1298" t="b" s="4">
        <v>0</v>
      </c>
    </row>
    <row r="1299" ht="17" customHeight="1">
      <c r="A1299" s="4">
        <v>1018</v>
      </c>
      <c r="B1299" s="5">
        <v>42156</v>
      </c>
      <c r="C1299" t="s" s="3">
        <v>33</v>
      </c>
      <c r="D1299" t="s" s="3">
        <v>673</v>
      </c>
      <c r="E1299" s="6">
        <v>1178700</v>
      </c>
      <c r="F1299" s="6">
        <f>E1299*0.19</f>
        <v>223953</v>
      </c>
      <c r="G1299" s="6">
        <f>E1299+F1299</f>
        <v>1402653</v>
      </c>
      <c r="H1299" s="7">
        <f>IF(J1299=TRUE(),E1299,0)</f>
        <v>0</v>
      </c>
      <c r="I1299" s="7">
        <f>IF(K1299=TRUE(),E1299,0)</f>
        <v>0</v>
      </c>
      <c r="J1299" t="b" s="4">
        <v>0</v>
      </c>
      <c r="K1299" t="b" s="4">
        <v>0</v>
      </c>
    </row>
    <row r="1300" ht="17" customHeight="1">
      <c r="A1300" s="4">
        <v>1019</v>
      </c>
      <c r="B1300" s="5">
        <v>42156</v>
      </c>
      <c r="C1300" t="s" s="3">
        <v>33</v>
      </c>
      <c r="D1300" t="s" s="3">
        <v>674</v>
      </c>
      <c r="E1300" s="6">
        <v>370000</v>
      </c>
      <c r="F1300" s="6">
        <f>E1300*0.19</f>
        <v>70300</v>
      </c>
      <c r="G1300" s="6">
        <f>E1300+F1300</f>
        <v>440300</v>
      </c>
      <c r="H1300" s="7">
        <f>IF(J1300=TRUE(),E1300,0)</f>
        <v>0</v>
      </c>
      <c r="I1300" s="7">
        <f>IF(K1300=TRUE(),E1300,0)</f>
        <v>0</v>
      </c>
      <c r="J1300" t="b" s="4">
        <v>0</v>
      </c>
      <c r="K1300" t="b" s="4">
        <v>0</v>
      </c>
    </row>
    <row r="1301" ht="17" customHeight="1">
      <c r="A1301" s="4">
        <v>1020</v>
      </c>
      <c r="B1301" s="5">
        <v>42156</v>
      </c>
      <c r="C1301" t="s" s="3">
        <v>610</v>
      </c>
      <c r="D1301" t="s" s="3">
        <v>666</v>
      </c>
      <c r="E1301" s="6">
        <v>327498</v>
      </c>
      <c r="F1301" s="6">
        <f>E1301*0.19</f>
        <v>62224.62</v>
      </c>
      <c r="G1301" s="6">
        <f>E1301+F1301</f>
        <v>389722.62</v>
      </c>
      <c r="H1301" s="7">
        <f>IF(J1301=TRUE(),E1301,0)</f>
        <v>327498</v>
      </c>
      <c r="I1301" s="7">
        <f>IF(K1301=TRUE(),E1301,0)</f>
        <v>0</v>
      </c>
      <c r="J1301" t="b" s="4">
        <v>1</v>
      </c>
      <c r="K1301" t="b" s="4">
        <v>0</v>
      </c>
    </row>
    <row r="1302" ht="17" customHeight="1">
      <c r="A1302" s="4">
        <v>1021</v>
      </c>
      <c r="B1302" s="5">
        <v>42156</v>
      </c>
      <c r="C1302" t="s" s="3">
        <v>610</v>
      </c>
      <c r="D1302" t="s" s="3">
        <v>675</v>
      </c>
      <c r="E1302" s="6">
        <v>329402</v>
      </c>
      <c r="F1302" s="6">
        <f>E1302*0.19</f>
        <v>62586.38</v>
      </c>
      <c r="G1302" s="6">
        <f>E1302+F1302</f>
        <v>391988.38</v>
      </c>
      <c r="H1302" s="7">
        <f>IF(J1302=TRUE(),E1302,0)</f>
        <v>329402</v>
      </c>
      <c r="I1302" s="7">
        <f>IF(K1302=TRUE(),E1302,0)</f>
        <v>0</v>
      </c>
      <c r="J1302" t="b" s="4">
        <v>1</v>
      </c>
      <c r="K1302" t="b" s="4">
        <v>0</v>
      </c>
    </row>
    <row r="1303" ht="17" customHeight="1">
      <c r="A1303" s="4">
        <v>1022</v>
      </c>
      <c r="B1303" s="5">
        <v>42156</v>
      </c>
      <c r="C1303" t="s" s="3">
        <v>610</v>
      </c>
      <c r="D1303" t="s" s="3">
        <v>664</v>
      </c>
      <c r="E1303" s="25">
        <v>166147</v>
      </c>
      <c r="F1303" s="6">
        <f>E1303*0.19</f>
        <v>31567.93</v>
      </c>
      <c r="G1303" s="6">
        <f>E1303+F1303</f>
        <v>197714.93</v>
      </c>
      <c r="H1303" s="7">
        <f>IF(J1303=TRUE(),E1303,0)</f>
        <v>166147</v>
      </c>
      <c r="I1303" s="7">
        <f>IF(K1303=TRUE(),E1303,0)</f>
        <v>0</v>
      </c>
      <c r="J1303" t="b" s="4">
        <v>1</v>
      </c>
      <c r="K1303" t="b" s="4">
        <v>0</v>
      </c>
    </row>
    <row r="1304" ht="17" customHeight="1">
      <c r="A1304" s="4">
        <v>1023</v>
      </c>
      <c r="B1304" s="5">
        <v>42156</v>
      </c>
      <c r="C1304" t="s" s="3">
        <v>98</v>
      </c>
      <c r="D1304" t="s" s="3">
        <v>676</v>
      </c>
      <c r="E1304" s="6">
        <v>239647</v>
      </c>
      <c r="F1304" s="6">
        <f>E1304*0.19</f>
        <v>45532.93</v>
      </c>
      <c r="G1304" s="6">
        <f>E1304+F1304</f>
        <v>285179.93</v>
      </c>
      <c r="H1304" s="7">
        <f>IF(J1304=TRUE(),E1304,0)</f>
        <v>239647</v>
      </c>
      <c r="I1304" s="7">
        <f>IF(K1304=TRUE(),E1304,0)</f>
        <v>0</v>
      </c>
      <c r="J1304" t="b" s="4">
        <v>1</v>
      </c>
      <c r="K1304" t="b" s="4">
        <v>0</v>
      </c>
    </row>
    <row r="1305" ht="17" customHeight="1">
      <c r="A1305" s="4">
        <v>1024</v>
      </c>
      <c r="B1305" s="5">
        <v>42156</v>
      </c>
      <c r="C1305" t="s" s="3">
        <v>98</v>
      </c>
      <c r="D1305" t="s" s="3">
        <v>677</v>
      </c>
      <c r="E1305" s="6">
        <v>239570</v>
      </c>
      <c r="F1305" s="6">
        <f>E1305*0.19</f>
        <v>45518.3</v>
      </c>
      <c r="G1305" s="6">
        <f>E1305+F1305</f>
        <v>285088.3</v>
      </c>
      <c r="H1305" s="7">
        <f>IF(J1305=TRUE(),E1305,0)</f>
        <v>239570</v>
      </c>
      <c r="I1305" s="7">
        <f>IF(K1305=TRUE(),E1305,0)</f>
        <v>0</v>
      </c>
      <c r="J1305" t="b" s="4">
        <v>1</v>
      </c>
      <c r="K1305" t="b" s="4">
        <v>0</v>
      </c>
    </row>
    <row r="1306" ht="17" customHeight="1">
      <c r="A1306" s="4">
        <v>1025</v>
      </c>
      <c r="B1306" s="5">
        <v>42156</v>
      </c>
      <c r="C1306" t="s" s="3">
        <v>98</v>
      </c>
      <c r="D1306" t="s" s="3">
        <v>678</v>
      </c>
      <c r="E1306" s="6">
        <v>240349</v>
      </c>
      <c r="F1306" s="6">
        <f>E1306*0.19</f>
        <v>45666.31</v>
      </c>
      <c r="G1306" s="6">
        <f>E1306+F1306</f>
        <v>286015.31</v>
      </c>
      <c r="H1306" s="7">
        <f>IF(J1306=TRUE(),E1306,0)</f>
        <v>240349</v>
      </c>
      <c r="I1306" s="7">
        <f>IF(K1306=TRUE(),E1306,0)</f>
        <v>0</v>
      </c>
      <c r="J1306" t="b" s="4">
        <v>1</v>
      </c>
      <c r="K1306" t="b" s="4">
        <v>0</v>
      </c>
    </row>
    <row r="1307" ht="17" customHeight="1">
      <c r="A1307" s="4">
        <v>1026</v>
      </c>
      <c r="B1307" s="5">
        <v>42156</v>
      </c>
      <c r="C1307" t="s" s="3">
        <v>98</v>
      </c>
      <c r="D1307" t="s" s="3">
        <v>679</v>
      </c>
      <c r="E1307" s="6">
        <v>241655</v>
      </c>
      <c r="F1307" s="6">
        <f>E1307*0.19</f>
        <v>45914.45</v>
      </c>
      <c r="G1307" s="6">
        <f>E1307+F1307</f>
        <v>287569.45</v>
      </c>
      <c r="H1307" s="7">
        <f>IF(J1307=TRUE(),E1307,0)</f>
        <v>241655</v>
      </c>
      <c r="I1307" s="7">
        <f>IF(K1307=TRUE(),E1307,0)</f>
        <v>0</v>
      </c>
      <c r="J1307" t="b" s="4">
        <v>1</v>
      </c>
      <c r="K1307" t="b" s="4">
        <v>0</v>
      </c>
    </row>
    <row r="1308" ht="17" customHeight="1">
      <c r="A1308" s="4">
        <v>1027</v>
      </c>
      <c r="B1308" s="5">
        <v>42156</v>
      </c>
      <c r="C1308" t="s" s="3">
        <v>98</v>
      </c>
      <c r="D1308" t="s" s="3">
        <v>680</v>
      </c>
      <c r="E1308" s="6">
        <v>243117</v>
      </c>
      <c r="F1308" s="6">
        <f>E1308*0.19</f>
        <v>46192.23</v>
      </c>
      <c r="G1308" s="6">
        <f>E1308+F1308</f>
        <v>289309.23</v>
      </c>
      <c r="H1308" s="7">
        <f>IF(J1308=TRUE(),E1308,0)</f>
        <v>243117</v>
      </c>
      <c r="I1308" s="7">
        <f>IF(K1308=TRUE(),E1308,0)</f>
        <v>0</v>
      </c>
      <c r="J1308" t="b" s="4">
        <v>1</v>
      </c>
      <c r="K1308" t="b" s="4">
        <v>0</v>
      </c>
    </row>
    <row r="1309" ht="17" customHeight="1">
      <c r="A1309" s="4">
        <v>1028</v>
      </c>
      <c r="B1309" s="5">
        <v>42156</v>
      </c>
      <c r="C1309" t="s" s="3">
        <v>98</v>
      </c>
      <c r="D1309" t="s" s="3">
        <v>681</v>
      </c>
      <c r="E1309" s="6">
        <v>98716</v>
      </c>
      <c r="F1309" s="6">
        <f>E1309*0.19</f>
        <v>18756.04</v>
      </c>
      <c r="G1309" s="6">
        <f>E1309+F1309</f>
        <v>117472.04</v>
      </c>
      <c r="H1309" s="7">
        <f>IF(J1309=TRUE(),E1309,0)</f>
        <v>98716</v>
      </c>
      <c r="I1309" s="7">
        <f>IF(K1309=TRUE(),E1309,0)</f>
        <v>0</v>
      </c>
      <c r="J1309" t="b" s="4">
        <v>1</v>
      </c>
      <c r="K1309" t="b" s="4">
        <v>0</v>
      </c>
    </row>
    <row r="1310" ht="17" customHeight="1">
      <c r="A1310" s="4">
        <v>1029</v>
      </c>
      <c r="B1310" s="5">
        <v>42156</v>
      </c>
      <c r="C1310" t="s" s="3">
        <v>98</v>
      </c>
      <c r="D1310" t="s" s="3">
        <v>682</v>
      </c>
      <c r="E1310" s="6">
        <v>407205</v>
      </c>
      <c r="F1310" s="6">
        <f>E1310*0.19</f>
        <v>77368.95</v>
      </c>
      <c r="G1310" s="6">
        <f>E1310+F1310</f>
        <v>484573.95</v>
      </c>
      <c r="H1310" s="7">
        <f>IF(J1310=TRUE(),E1310,0)</f>
        <v>407205</v>
      </c>
      <c r="I1310" s="7">
        <f>IF(K1310=TRUE(),E1310,0)</f>
        <v>0</v>
      </c>
      <c r="J1310" t="b" s="4">
        <v>1</v>
      </c>
      <c r="K1310" t="b" s="4">
        <v>0</v>
      </c>
    </row>
    <row r="1311" ht="17" customHeight="1">
      <c r="A1311" s="4">
        <v>1030</v>
      </c>
      <c r="B1311" s="5">
        <v>42156</v>
      </c>
      <c r="C1311" t="s" s="3">
        <v>22</v>
      </c>
      <c r="D1311" t="s" s="3">
        <v>660</v>
      </c>
      <c r="E1311" s="6">
        <v>170896</v>
      </c>
      <c r="F1311" s="6">
        <f>E1311*0.19</f>
        <v>32470.24</v>
      </c>
      <c r="G1311" s="6">
        <f>E1311+F1311</f>
        <v>203366.24</v>
      </c>
      <c r="H1311" s="7">
        <f>IF(J1311=TRUE(),E1311,0)</f>
        <v>170896</v>
      </c>
      <c r="I1311" s="7">
        <f>IF(K1311=TRUE(),E1311,0)</f>
        <v>0</v>
      </c>
      <c r="J1311" t="b" s="4">
        <v>1</v>
      </c>
      <c r="K1311" t="b" s="4">
        <v>0</v>
      </c>
    </row>
    <row r="1312" ht="17" customHeight="1">
      <c r="A1312" s="4">
        <v>1031</v>
      </c>
      <c r="B1312" s="5"/>
      <c r="C1312" t="s" s="3">
        <v>629</v>
      </c>
      <c r="D1312" s="3"/>
      <c r="E1312" s="6"/>
      <c r="F1312" s="6">
        <f>E1312*0.19</f>
        <v>0</v>
      </c>
      <c r="G1312" s="6">
        <f>E1312+F1312</f>
        <v>0</v>
      </c>
      <c r="H1312" s="7">
        <f>IF(J1312=TRUE(),E1312,0)</f>
        <v>0</v>
      </c>
      <c r="I1312" s="7">
        <f>IF(K1312=TRUE(),E1312,0)</f>
        <v>0</v>
      </c>
      <c r="J1312" t="b" s="4">
        <v>1</v>
      </c>
      <c r="K1312" t="b" s="4">
        <v>0</v>
      </c>
    </row>
    <row r="1313" ht="17" customHeight="1">
      <c r="A1313" s="4">
        <v>1032</v>
      </c>
      <c r="B1313" s="5">
        <v>42156</v>
      </c>
      <c r="C1313" t="s" s="3">
        <v>22</v>
      </c>
      <c r="D1313" t="s" s="3">
        <v>661</v>
      </c>
      <c r="E1313" s="6">
        <v>170841</v>
      </c>
      <c r="F1313" s="6">
        <f>E1313*0.19</f>
        <v>32459.79</v>
      </c>
      <c r="G1313" s="6">
        <f>E1313+F1313</f>
        <v>203300.79</v>
      </c>
      <c r="H1313" s="7">
        <f>IF(J1313=TRUE(),E1313,0)</f>
        <v>170841</v>
      </c>
      <c r="I1313" s="7">
        <f>IF(K1313=TRUE(),E1313,0)</f>
        <v>0</v>
      </c>
      <c r="J1313" t="b" s="4">
        <v>1</v>
      </c>
      <c r="K1313" t="b" s="4">
        <v>0</v>
      </c>
    </row>
    <row r="1314" ht="17" customHeight="1">
      <c r="A1314" s="4">
        <v>1033</v>
      </c>
      <c r="B1314" s="5">
        <v>42156</v>
      </c>
      <c r="C1314" t="s" s="3">
        <v>22</v>
      </c>
      <c r="D1314" t="s" s="3">
        <v>662</v>
      </c>
      <c r="E1314" s="6">
        <v>171397</v>
      </c>
      <c r="F1314" s="6">
        <f>E1314*0.19</f>
        <v>32565.43</v>
      </c>
      <c r="G1314" s="6">
        <f>E1314+F1314</f>
        <v>203962.43</v>
      </c>
      <c r="H1314" s="7">
        <f>IF(J1314=TRUE(),E1314,0)</f>
        <v>171397</v>
      </c>
      <c r="I1314" s="7">
        <f>IF(K1314=TRUE(),E1314,0)</f>
        <v>0</v>
      </c>
      <c r="J1314" t="b" s="4">
        <v>1</v>
      </c>
      <c r="K1314" t="b" s="4">
        <v>0</v>
      </c>
    </row>
    <row r="1315" ht="17" customHeight="1">
      <c r="A1315" s="4">
        <v>1034</v>
      </c>
      <c r="B1315" s="5">
        <v>42156</v>
      </c>
      <c r="C1315" t="s" s="3">
        <v>22</v>
      </c>
      <c r="D1315" t="s" s="3">
        <v>663</v>
      </c>
      <c r="E1315" s="6">
        <v>172328</v>
      </c>
      <c r="F1315" s="6">
        <f>E1315*0.19</f>
        <v>32742.32</v>
      </c>
      <c r="G1315" s="6">
        <f>E1315+F1315</f>
        <v>205070.32</v>
      </c>
      <c r="H1315" s="7">
        <f>IF(J1315=TRUE(),E1315,0)</f>
        <v>172328</v>
      </c>
      <c r="I1315" s="7">
        <f>IF(K1315=TRUE(),E1315,0)</f>
        <v>0</v>
      </c>
      <c r="J1315" t="b" s="4">
        <v>1</v>
      </c>
      <c r="K1315" t="b" s="4">
        <v>0</v>
      </c>
    </row>
    <row r="1316" ht="17" customHeight="1">
      <c r="A1316" s="4">
        <v>1035</v>
      </c>
      <c r="B1316" s="5">
        <v>42156</v>
      </c>
      <c r="C1316" t="s" s="3">
        <v>22</v>
      </c>
      <c r="D1316" t="s" s="3">
        <v>664</v>
      </c>
      <c r="E1316" s="6">
        <v>173370</v>
      </c>
      <c r="F1316" s="6">
        <f>E1316*0.19</f>
        <v>32940.3</v>
      </c>
      <c r="G1316" s="6">
        <f>E1316+F1316</f>
        <v>206310.3</v>
      </c>
      <c r="H1316" s="7">
        <f>IF(J1316=TRUE(),E1316,0)</f>
        <v>173370</v>
      </c>
      <c r="I1316" s="7">
        <f>IF(K1316=TRUE(),E1316,0)</f>
        <v>0</v>
      </c>
      <c r="J1316" t="b" s="4">
        <v>1</v>
      </c>
      <c r="K1316" t="b" s="4">
        <v>0</v>
      </c>
    </row>
    <row r="1317" ht="17" customHeight="1">
      <c r="A1317" s="4">
        <v>1036</v>
      </c>
      <c r="B1317" s="5">
        <v>42156</v>
      </c>
      <c r="C1317" t="s" s="3">
        <v>22</v>
      </c>
      <c r="D1317" t="s" s="3">
        <v>683</v>
      </c>
      <c r="E1317" s="6">
        <v>365732</v>
      </c>
      <c r="F1317" s="6">
        <f>E1317*0.19</f>
        <v>69489.08</v>
      </c>
      <c r="G1317" s="6">
        <f>E1317+F1317</f>
        <v>435221.08</v>
      </c>
      <c r="H1317" s="7">
        <f>IF(J1317=TRUE(),E1317,0)</f>
        <v>0</v>
      </c>
      <c r="I1317" s="7">
        <f>IF(K1317=TRUE(),E1317,0)</f>
        <v>0</v>
      </c>
      <c r="J1317" t="b" s="4">
        <v>0</v>
      </c>
      <c r="K1317" t="b" s="4">
        <v>0</v>
      </c>
    </row>
    <row r="1318" ht="17.5" customHeight="1">
      <c r="A1318" s="9">
        <v>1037</v>
      </c>
      <c r="B1318" s="5">
        <v>42156</v>
      </c>
      <c r="C1318" t="s" s="10">
        <v>22</v>
      </c>
      <c r="D1318" t="s" s="10">
        <v>684</v>
      </c>
      <c r="E1318" s="11">
        <v>605000</v>
      </c>
      <c r="F1318" s="11">
        <f>E1318*0.19</f>
        <v>114950</v>
      </c>
      <c r="G1318" s="11">
        <f>E1318+F1318</f>
        <v>719950</v>
      </c>
      <c r="H1318" s="12">
        <f>IF(J1318=TRUE(),E1318,0)</f>
        <v>0</v>
      </c>
      <c r="I1318" s="12">
        <f>IF(K1318=TRUE(),E1318,0)</f>
        <v>0</v>
      </c>
      <c r="J1318" t="b" s="9">
        <v>0</v>
      </c>
      <c r="K1318" t="b" s="9">
        <v>0</v>
      </c>
    </row>
    <row r="1319" ht="18" customHeight="1">
      <c r="A1319" s="13">
        <f>COUNT(A1268:A1318)</f>
        <v>50</v>
      </c>
      <c r="B1319" t="s" s="3">
        <v>685</v>
      </c>
      <c r="C1319" t="s" s="14">
        <v>7</v>
      </c>
      <c r="D1319" s="14"/>
      <c r="E1319" s="15">
        <f>SUM(E1268:E1318)</f>
        <v>18476643</v>
      </c>
      <c r="F1319" s="15">
        <f>SUM(F1268:F1318)</f>
        <v>3510562.170000001</v>
      </c>
      <c r="G1319" s="16">
        <f>SUM(G1268:G1318)</f>
        <v>21987205.16999999</v>
      </c>
      <c r="H1319" s="17">
        <f>SUM(H1268:H1318)</f>
        <v>13578611</v>
      </c>
      <c r="I1319" s="17"/>
      <c r="J1319" s="18">
        <f>COUNTIF(J1268:J1318,TRUE())</f>
        <v>43</v>
      </c>
      <c r="K1319" s="19"/>
    </row>
    <row r="1320" ht="17.5" customHeight="1">
      <c r="A1320" s="20"/>
      <c r="B1320" s="3"/>
      <c r="C1320" s="20"/>
      <c r="D1320" s="21"/>
      <c r="E1320" s="24"/>
      <c r="F1320" s="24"/>
      <c r="G1320" s="24"/>
      <c r="H1320" s="22"/>
      <c r="I1320" s="22"/>
      <c r="J1320" s="20"/>
      <c r="K1320" s="20"/>
    </row>
    <row r="1321" ht="17" customHeight="1">
      <c r="A1321" t="s" s="3">
        <v>1</v>
      </c>
      <c r="B1321" t="s" s="3">
        <v>2</v>
      </c>
      <c r="C1321" t="s" s="3">
        <v>3</v>
      </c>
      <c r="D1321" t="s" s="3">
        <v>4</v>
      </c>
      <c r="E1321" t="s" s="3">
        <v>5</v>
      </c>
      <c r="F1321" t="s" s="3">
        <v>6</v>
      </c>
      <c r="G1321" t="s" s="3">
        <v>7</v>
      </c>
      <c r="H1321" s="7"/>
      <c r="I1321" s="7"/>
      <c r="J1321" s="8"/>
      <c r="K1321" s="8"/>
    </row>
    <row r="1322" ht="17" customHeight="1">
      <c r="A1322" s="4">
        <v>1038</v>
      </c>
      <c r="B1322" s="5">
        <v>42186</v>
      </c>
      <c r="C1322" t="s" s="3">
        <v>66</v>
      </c>
      <c r="D1322" t="s" s="3">
        <v>686</v>
      </c>
      <c r="E1322" s="6">
        <v>964136</v>
      </c>
      <c r="F1322" s="6">
        <f>E1322*0.19</f>
        <v>183185.84</v>
      </c>
      <c r="G1322" s="6">
        <f>E1322+F1322</f>
        <v>1147321.84</v>
      </c>
      <c r="H1322" s="7">
        <f>IF(J1322=TRUE(),E1322,0)</f>
        <v>964136</v>
      </c>
      <c r="I1322" s="7">
        <f>IF(K1322=TRUE(),E1322,0)</f>
        <v>0</v>
      </c>
      <c r="J1322" t="b" s="4">
        <v>1</v>
      </c>
      <c r="K1322" t="b" s="4">
        <v>0</v>
      </c>
    </row>
    <row r="1323" ht="17" customHeight="1">
      <c r="A1323" s="4">
        <v>1039</v>
      </c>
      <c r="B1323" s="5">
        <v>42186</v>
      </c>
      <c r="C1323" t="s" s="3">
        <v>22</v>
      </c>
      <c r="D1323" t="s" s="3">
        <v>140</v>
      </c>
      <c r="E1323" s="6">
        <v>173893</v>
      </c>
      <c r="F1323" s="6">
        <f>E1323*0.19</f>
        <v>33039.67</v>
      </c>
      <c r="G1323" s="6">
        <f>E1323+F1323</f>
        <v>206932.67</v>
      </c>
      <c r="H1323" s="7">
        <f>IF(J1323=TRUE(),E1323,0)</f>
        <v>173893</v>
      </c>
      <c r="I1323" s="7">
        <f>IF(K1323=TRUE(),E1323,0)</f>
        <v>0</v>
      </c>
      <c r="J1323" t="b" s="4">
        <v>1</v>
      </c>
      <c r="K1323" t="b" s="4">
        <v>0</v>
      </c>
    </row>
    <row r="1324" ht="17" customHeight="1">
      <c r="A1324" s="4">
        <v>1040</v>
      </c>
      <c r="B1324" s="5">
        <v>42186</v>
      </c>
      <c r="C1324" t="s" s="3">
        <v>357</v>
      </c>
      <c r="D1324" t="s" s="3">
        <v>140</v>
      </c>
      <c r="E1324" s="6">
        <v>349112</v>
      </c>
      <c r="F1324" s="6">
        <f>E1324*0.19</f>
        <v>66331.28</v>
      </c>
      <c r="G1324" s="6">
        <f>E1324+F1324</f>
        <v>415443.28</v>
      </c>
      <c r="H1324" s="7">
        <f>IF(J1324=TRUE(),E1324,0)</f>
        <v>349112</v>
      </c>
      <c r="I1324" s="7">
        <f>IF(K1324=TRUE(),E1324,0)</f>
        <v>0</v>
      </c>
      <c r="J1324" t="b" s="4">
        <v>1</v>
      </c>
      <c r="K1324" t="b" s="4">
        <v>0</v>
      </c>
    </row>
    <row r="1325" ht="17" customHeight="1">
      <c r="A1325" s="4">
        <v>1041</v>
      </c>
      <c r="B1325" s="5">
        <v>42186</v>
      </c>
      <c r="C1325" t="s" s="3">
        <v>110</v>
      </c>
      <c r="D1325" t="s" s="3">
        <v>687</v>
      </c>
      <c r="E1325" s="25">
        <v>294712</v>
      </c>
      <c r="F1325" s="6">
        <f>E1325*0.19</f>
        <v>55995.28</v>
      </c>
      <c r="G1325" s="6">
        <f>E1325+F1325</f>
        <v>350707.28</v>
      </c>
      <c r="H1325" s="7">
        <f>IF(J1325=TRUE(),E1325,0)</f>
        <v>294712</v>
      </c>
      <c r="I1325" s="7">
        <f>IF(K1325=TRUE(),E1325,0)</f>
        <v>0</v>
      </c>
      <c r="J1325" t="b" s="4">
        <v>1</v>
      </c>
      <c r="K1325" t="b" s="4">
        <v>0</v>
      </c>
    </row>
    <row r="1326" ht="17" customHeight="1">
      <c r="A1326" s="4">
        <v>1042</v>
      </c>
      <c r="B1326" s="5">
        <v>42186</v>
      </c>
      <c r="C1326" t="s" s="3">
        <v>110</v>
      </c>
      <c r="D1326" t="s" s="3">
        <v>80</v>
      </c>
      <c r="E1326" s="6">
        <v>44400</v>
      </c>
      <c r="F1326" s="6">
        <f>E1326*0.19</f>
        <v>8436</v>
      </c>
      <c r="G1326" s="6">
        <f>E1326+F1326</f>
        <v>52836</v>
      </c>
      <c r="H1326" s="7">
        <f>IF(J1326=TRUE(),E1326,0)</f>
        <v>0</v>
      </c>
      <c r="I1326" s="7">
        <f>IF(K1326=TRUE(),E1326,0)</f>
        <v>0</v>
      </c>
      <c r="J1326" t="b" s="4">
        <v>0</v>
      </c>
      <c r="K1326" t="b" s="4">
        <v>0</v>
      </c>
    </row>
    <row r="1327" ht="17" customHeight="1">
      <c r="A1327" s="4">
        <v>1043</v>
      </c>
      <c r="B1327" s="5">
        <v>42186</v>
      </c>
      <c r="C1327" t="s" s="3">
        <v>541</v>
      </c>
      <c r="D1327" t="s" s="3">
        <v>688</v>
      </c>
      <c r="E1327" s="6">
        <v>159739</v>
      </c>
      <c r="F1327" s="6">
        <f>E1327*0.19</f>
        <v>30350.41</v>
      </c>
      <c r="G1327" s="6">
        <f>E1327+F1327</f>
        <v>190089.41</v>
      </c>
      <c r="H1327" s="7">
        <f>IF(J1327=TRUE(),E1327,0)</f>
        <v>159739</v>
      </c>
      <c r="I1327" s="7">
        <f>IF(K1327=TRUE(),E1327,0)</f>
        <v>0</v>
      </c>
      <c r="J1327" t="b" s="4">
        <v>1</v>
      </c>
      <c r="K1327" t="b" s="4">
        <v>0</v>
      </c>
    </row>
    <row r="1328" ht="17" customHeight="1">
      <c r="A1328" s="4">
        <v>1044</v>
      </c>
      <c r="B1328" s="5">
        <v>42186</v>
      </c>
      <c r="C1328" t="s" s="3">
        <v>541</v>
      </c>
      <c r="D1328" t="s" s="3">
        <v>689</v>
      </c>
      <c r="E1328" s="6">
        <v>162358</v>
      </c>
      <c r="F1328" s="6">
        <f>E1328*0.19</f>
        <v>30848.02</v>
      </c>
      <c r="G1328" s="6">
        <f>E1328+F1328</f>
        <v>193206.02</v>
      </c>
      <c r="H1328" s="7">
        <f>IF(J1328=TRUE(),E1328,0)</f>
        <v>162358</v>
      </c>
      <c r="I1328" s="7">
        <f>IF(K1328=TRUE(),E1328,0)</f>
        <v>0</v>
      </c>
      <c r="J1328" t="b" s="4">
        <v>1</v>
      </c>
      <c r="K1328" t="b" s="4">
        <v>0</v>
      </c>
    </row>
    <row r="1329" ht="17" customHeight="1">
      <c r="A1329" s="4">
        <v>1045</v>
      </c>
      <c r="B1329" s="5">
        <v>42186</v>
      </c>
      <c r="C1329" t="s" s="3">
        <v>541</v>
      </c>
      <c r="D1329" t="s" s="3">
        <v>690</v>
      </c>
      <c r="E1329" s="6">
        <v>243975</v>
      </c>
      <c r="F1329" s="6">
        <f>E1329*0.19</f>
        <v>46355.25</v>
      </c>
      <c r="G1329" s="6">
        <f>E1329+F1329</f>
        <v>290330.25</v>
      </c>
      <c r="H1329" s="7">
        <f>IF(J1329=TRUE(),E1329,0)</f>
        <v>243975</v>
      </c>
      <c r="I1329" s="7">
        <f>IF(K1329=TRUE(),E1329,0)</f>
        <v>0</v>
      </c>
      <c r="J1329" t="b" s="4">
        <v>1</v>
      </c>
      <c r="K1329" t="b" s="4">
        <v>0</v>
      </c>
    </row>
    <row r="1330" ht="17.5" customHeight="1">
      <c r="A1330" s="9">
        <v>1046</v>
      </c>
      <c r="B1330" s="5">
        <v>42186</v>
      </c>
      <c r="C1330" t="s" s="10">
        <v>56</v>
      </c>
      <c r="D1330" t="s" s="10">
        <v>691</v>
      </c>
      <c r="E1330" s="11">
        <v>699750</v>
      </c>
      <c r="F1330" s="11">
        <f>E1330*0.19</f>
        <v>132952.5</v>
      </c>
      <c r="G1330" s="11">
        <f>E1330+F1330</f>
        <v>832702.5</v>
      </c>
      <c r="H1330" s="12">
        <f>IF(J1330=TRUE(),E1330,0)</f>
        <v>699750</v>
      </c>
      <c r="I1330" s="12">
        <f>IF(K1330=TRUE(),E1330,0)</f>
        <v>0</v>
      </c>
      <c r="J1330" t="b" s="9">
        <v>1</v>
      </c>
      <c r="K1330" t="b" s="9">
        <v>0</v>
      </c>
    </row>
    <row r="1331" ht="18" customHeight="1">
      <c r="A1331" s="13">
        <f>COUNT(A1322:A1330)</f>
        <v>9</v>
      </c>
      <c r="B1331" t="s" s="3">
        <v>692</v>
      </c>
      <c r="C1331" t="s" s="14">
        <v>7</v>
      </c>
      <c r="D1331" s="14"/>
      <c r="E1331" s="15">
        <f>SUM(E1322:E1330)</f>
        <v>3092075</v>
      </c>
      <c r="F1331" s="15">
        <f>SUM(F1322:F1330)</f>
        <v>587494.25</v>
      </c>
      <c r="G1331" s="16">
        <f>SUM(G1322:G1330)</f>
        <v>3679569.25</v>
      </c>
      <c r="H1331" s="17">
        <f>SUM(H1322:H1330)</f>
        <v>3047675</v>
      </c>
      <c r="I1331" s="17"/>
      <c r="J1331" s="18">
        <f>COUNTIF(J1322:J1330,TRUE())</f>
        <v>8</v>
      </c>
      <c r="K1331" s="19"/>
    </row>
    <row r="1332" ht="17.5" customHeight="1">
      <c r="A1332" s="20"/>
      <c r="B1332" s="3"/>
      <c r="C1332" s="20"/>
      <c r="D1332" s="21"/>
      <c r="E1332" s="24"/>
      <c r="F1332" s="24"/>
      <c r="G1332" s="24"/>
      <c r="H1332" s="22"/>
      <c r="I1332" s="22"/>
      <c r="J1332" s="20"/>
      <c r="K1332" s="20"/>
    </row>
    <row r="1333" ht="17" customHeight="1">
      <c r="A1333" t="s" s="3">
        <v>1</v>
      </c>
      <c r="B1333" t="s" s="3">
        <v>2</v>
      </c>
      <c r="C1333" t="s" s="3">
        <v>3</v>
      </c>
      <c r="D1333" t="s" s="3">
        <v>4</v>
      </c>
      <c r="E1333" t="s" s="3">
        <v>5</v>
      </c>
      <c r="F1333" t="s" s="3">
        <v>6</v>
      </c>
      <c r="G1333" t="s" s="3">
        <v>7</v>
      </c>
      <c r="H1333" s="7"/>
      <c r="I1333" s="7"/>
      <c r="J1333" s="8"/>
      <c r="K1333" s="8"/>
    </row>
    <row r="1334" ht="17" customHeight="1">
      <c r="A1334" s="4">
        <v>1047</v>
      </c>
      <c r="B1334" s="5">
        <v>42217</v>
      </c>
      <c r="C1334" t="s" s="3">
        <v>693</v>
      </c>
      <c r="D1334" t="s" s="3">
        <v>694</v>
      </c>
      <c r="E1334" s="6">
        <v>114100</v>
      </c>
      <c r="F1334" s="6">
        <f>E1334*0.19</f>
        <v>21679</v>
      </c>
      <c r="G1334" s="6">
        <f>E1334+F1334</f>
        <v>135779</v>
      </c>
      <c r="H1334" s="7">
        <f>IF(J1334=TRUE(),E1334,0)</f>
        <v>114100</v>
      </c>
      <c r="I1334" s="7">
        <f>IF(K1334=TRUE(),E1334,0)</f>
        <v>0</v>
      </c>
      <c r="J1334" t="b" s="4">
        <v>1</v>
      </c>
      <c r="K1334" t="b" s="4">
        <v>0</v>
      </c>
    </row>
    <row r="1335" ht="17" customHeight="1">
      <c r="A1335" s="4">
        <v>1048</v>
      </c>
      <c r="B1335" s="5">
        <v>42217</v>
      </c>
      <c r="C1335" t="s" s="3">
        <v>253</v>
      </c>
      <c r="D1335" t="s" s="3">
        <v>695</v>
      </c>
      <c r="E1335" s="6">
        <v>1017861</v>
      </c>
      <c r="F1335" s="6">
        <f>E1335*0.19</f>
        <v>193393.59</v>
      </c>
      <c r="G1335" s="6">
        <f>E1335+F1335</f>
        <v>1211254.59</v>
      </c>
      <c r="H1335" s="7">
        <f>IF(J1335=TRUE(),E1335,0)</f>
        <v>1017861</v>
      </c>
      <c r="I1335" s="7">
        <f>IF(K1335=TRUE(),E1335,0)</f>
        <v>0</v>
      </c>
      <c r="J1335" t="b" s="4">
        <v>1</v>
      </c>
      <c r="K1335" t="b" s="4">
        <v>0</v>
      </c>
    </row>
    <row r="1336" ht="17" customHeight="1">
      <c r="A1336" s="4">
        <v>1049</v>
      </c>
      <c r="B1336" s="5">
        <v>42217</v>
      </c>
      <c r="C1336" t="s" s="3">
        <v>26</v>
      </c>
      <c r="D1336" t="s" s="3">
        <v>696</v>
      </c>
      <c r="E1336" s="6">
        <v>1161536</v>
      </c>
      <c r="F1336" s="6">
        <f>E1336*0.19</f>
        <v>220691.84</v>
      </c>
      <c r="G1336" s="6">
        <f>E1336+F1336</f>
        <v>1382227.84</v>
      </c>
      <c r="H1336" s="7">
        <f>IF(J1336=TRUE(),E1336,0)</f>
        <v>1161536</v>
      </c>
      <c r="I1336" s="7">
        <f>IF(K1336=TRUE(),E1336,0)</f>
        <v>0</v>
      </c>
      <c r="J1336" t="b" s="4">
        <v>1</v>
      </c>
      <c r="K1336" t="b" s="4">
        <v>0</v>
      </c>
    </row>
    <row r="1337" ht="17" customHeight="1">
      <c r="A1337" s="4">
        <v>1050</v>
      </c>
      <c r="B1337" s="5">
        <v>42217</v>
      </c>
      <c r="C1337" t="s" s="3">
        <v>697</v>
      </c>
      <c r="D1337" t="s" s="3">
        <v>698</v>
      </c>
      <c r="E1337" s="6"/>
      <c r="F1337" s="6">
        <f>E1337*0.19</f>
        <v>0</v>
      </c>
      <c r="G1337" s="6">
        <f>E1337+F1337</f>
        <v>0</v>
      </c>
      <c r="H1337" s="7">
        <f>IF(J1337=TRUE(),E1337,0)</f>
        <v>0</v>
      </c>
      <c r="I1337" s="7">
        <f>IF(K1337=TRUE(),E1337,0)</f>
        <v>0</v>
      </c>
      <c r="J1337" t="b" s="4">
        <v>0</v>
      </c>
      <c r="K1337" t="b" s="4">
        <v>0</v>
      </c>
    </row>
    <row r="1338" ht="17" customHeight="1">
      <c r="A1338" s="4">
        <v>1051</v>
      </c>
      <c r="B1338" s="5">
        <v>42217</v>
      </c>
      <c r="C1338" t="s" s="3">
        <v>697</v>
      </c>
      <c r="D1338" t="s" s="3">
        <v>660</v>
      </c>
      <c r="E1338" s="6"/>
      <c r="F1338" s="6">
        <f>E1338*0.19</f>
        <v>0</v>
      </c>
      <c r="G1338" s="6">
        <f>E1338+F1338</f>
        <v>0</v>
      </c>
      <c r="H1338" s="7">
        <f>IF(J1338=TRUE(),E1338,0)</f>
        <v>0</v>
      </c>
      <c r="I1338" s="7">
        <f>IF(K1338=TRUE(),E1338,0)</f>
        <v>0</v>
      </c>
      <c r="J1338" t="b" s="4">
        <v>1</v>
      </c>
      <c r="K1338" t="b" s="4">
        <v>0</v>
      </c>
    </row>
    <row r="1339" ht="17" customHeight="1">
      <c r="A1339" s="4">
        <v>1052</v>
      </c>
      <c r="B1339" s="5">
        <v>42217</v>
      </c>
      <c r="C1339" t="s" s="3">
        <v>697</v>
      </c>
      <c r="D1339" t="s" s="3">
        <v>661</v>
      </c>
      <c r="E1339" s="6"/>
      <c r="F1339" s="6">
        <f>E1339*0.19</f>
        <v>0</v>
      </c>
      <c r="G1339" s="6">
        <f>E1339+F1339</f>
        <v>0</v>
      </c>
      <c r="H1339" s="7">
        <f>IF(J1339=TRUE(),E1339,0)</f>
        <v>0</v>
      </c>
      <c r="I1339" s="7">
        <f>IF(K1339=TRUE(),E1339,0)</f>
        <v>0</v>
      </c>
      <c r="J1339" t="b" s="4">
        <v>1</v>
      </c>
      <c r="K1339" t="b" s="4">
        <v>0</v>
      </c>
    </row>
    <row r="1340" ht="17" customHeight="1">
      <c r="A1340" s="4">
        <v>1053</v>
      </c>
      <c r="B1340" s="5">
        <v>42217</v>
      </c>
      <c r="C1340" t="s" s="3">
        <v>60</v>
      </c>
      <c r="D1340" t="s" s="3">
        <v>699</v>
      </c>
      <c r="E1340" s="6">
        <v>197625</v>
      </c>
      <c r="F1340" s="6">
        <f>E1340*0.19</f>
        <v>37548.75</v>
      </c>
      <c r="G1340" s="6">
        <f>E1340+F1340</f>
        <v>235173.75</v>
      </c>
      <c r="H1340" s="7">
        <f>IF(J1340=TRUE(),E1340,0)</f>
        <v>197625</v>
      </c>
      <c r="I1340" s="7">
        <f>IF(K1340=TRUE(),E1340,0)</f>
        <v>0</v>
      </c>
      <c r="J1340" t="b" s="4">
        <v>1</v>
      </c>
      <c r="K1340" t="b" s="4">
        <v>0</v>
      </c>
    </row>
    <row r="1341" ht="17" customHeight="1">
      <c r="A1341" s="4">
        <v>1054</v>
      </c>
      <c r="B1341" s="5">
        <v>42217</v>
      </c>
      <c r="C1341" t="s" s="3">
        <v>60</v>
      </c>
      <c r="D1341" t="s" s="3">
        <v>698</v>
      </c>
      <c r="E1341" s="6">
        <v>1177600</v>
      </c>
      <c r="F1341" s="6">
        <f>E1341*0.19</f>
        <v>223744</v>
      </c>
      <c r="G1341" s="6">
        <f>E1341+F1341</f>
        <v>1401344</v>
      </c>
      <c r="H1341" s="7">
        <f>IF(J1341=TRUE(),E1341,0)</f>
        <v>0</v>
      </c>
      <c r="I1341" s="7">
        <f>IF(K1341=TRUE(),E1341,0)</f>
        <v>0</v>
      </c>
      <c r="J1341" t="b" s="4">
        <v>0</v>
      </c>
      <c r="K1341" t="b" s="4">
        <v>0</v>
      </c>
    </row>
    <row r="1342" ht="17" customHeight="1">
      <c r="A1342" s="4">
        <v>1055</v>
      </c>
      <c r="B1342" s="5">
        <v>42217</v>
      </c>
      <c r="C1342" t="s" s="3">
        <v>60</v>
      </c>
      <c r="D1342" t="s" s="3">
        <v>660</v>
      </c>
      <c r="E1342" s="6">
        <v>65314</v>
      </c>
      <c r="F1342" s="6">
        <f>E1342*0.19</f>
        <v>12409.66</v>
      </c>
      <c r="G1342" s="6">
        <f>E1342+F1342</f>
        <v>77723.66</v>
      </c>
      <c r="H1342" s="7">
        <f>IF(J1342=TRUE(),E1342,0)</f>
        <v>65314</v>
      </c>
      <c r="I1342" s="7">
        <f>IF(K1342=TRUE(),E1342,0)</f>
        <v>0</v>
      </c>
      <c r="J1342" t="b" s="4">
        <v>1</v>
      </c>
      <c r="K1342" t="b" s="4">
        <v>0</v>
      </c>
    </row>
    <row r="1343" ht="17" customHeight="1">
      <c r="A1343" s="4">
        <v>1056</v>
      </c>
      <c r="B1343" s="5">
        <v>42217</v>
      </c>
      <c r="C1343" t="s" s="3">
        <v>60</v>
      </c>
      <c r="D1343" t="s" s="3">
        <v>661</v>
      </c>
      <c r="E1343" s="6">
        <v>65293</v>
      </c>
      <c r="F1343" s="6">
        <f>E1343*0.19</f>
        <v>12405.67</v>
      </c>
      <c r="G1343" s="6">
        <f>E1343+F1343</f>
        <v>77698.67</v>
      </c>
      <c r="H1343" s="7">
        <f>IF(J1343=TRUE(),E1343,0)</f>
        <v>65293</v>
      </c>
      <c r="I1343" s="7">
        <f>IF(K1343=TRUE(),E1343,0)</f>
        <v>0</v>
      </c>
      <c r="J1343" t="b" s="4">
        <v>1</v>
      </c>
      <c r="K1343" t="b" s="4">
        <v>0</v>
      </c>
    </row>
    <row r="1344" ht="17" customHeight="1">
      <c r="A1344" s="4">
        <v>1057</v>
      </c>
      <c r="B1344" s="5">
        <v>42217</v>
      </c>
      <c r="C1344" t="s" s="3">
        <v>60</v>
      </c>
      <c r="D1344" t="s" s="3">
        <v>700</v>
      </c>
      <c r="E1344" s="6">
        <v>171257</v>
      </c>
      <c r="F1344" s="6">
        <f>E1344*0.19</f>
        <v>32538.83</v>
      </c>
      <c r="G1344" s="6">
        <f>E1344+F1344</f>
        <v>203795.83</v>
      </c>
      <c r="H1344" s="7">
        <f>IF(J1344=TRUE(),E1344,0)</f>
        <v>171257</v>
      </c>
      <c r="I1344" s="7">
        <f>IF(K1344=TRUE(),E1344,0)</f>
        <v>0</v>
      </c>
      <c r="J1344" t="b" s="4">
        <v>1</v>
      </c>
      <c r="K1344" t="b" s="4">
        <v>0</v>
      </c>
    </row>
    <row r="1345" ht="17" customHeight="1">
      <c r="A1345" s="4">
        <v>1058</v>
      </c>
      <c r="B1345" s="5">
        <v>42217</v>
      </c>
      <c r="C1345" t="s" s="3">
        <v>22</v>
      </c>
      <c r="D1345" t="s" s="3">
        <v>701</v>
      </c>
      <c r="E1345" s="6">
        <v>174631</v>
      </c>
      <c r="F1345" s="6">
        <f>E1345*0.19</f>
        <v>33179.89</v>
      </c>
      <c r="G1345" s="6">
        <f>E1345+F1345</f>
        <v>207810.89</v>
      </c>
      <c r="H1345" s="7">
        <f>IF(J1345=TRUE(),E1345,0)</f>
        <v>174631</v>
      </c>
      <c r="I1345" s="7">
        <f>IF(K1345=TRUE(),E1345,0)</f>
        <v>0</v>
      </c>
      <c r="J1345" t="b" s="4">
        <v>1</v>
      </c>
      <c r="K1345" t="b" s="4">
        <v>0</v>
      </c>
    </row>
    <row r="1346" ht="17" customHeight="1">
      <c r="A1346" s="4">
        <v>1059</v>
      </c>
      <c r="B1346" s="5">
        <v>42217</v>
      </c>
      <c r="C1346" t="s" s="3">
        <v>357</v>
      </c>
      <c r="D1346" t="s" s="3">
        <v>701</v>
      </c>
      <c r="E1346" s="6">
        <v>353778</v>
      </c>
      <c r="F1346" s="6">
        <f>E1346*0.19</f>
        <v>67217.820000000007</v>
      </c>
      <c r="G1346" s="6">
        <f>E1346+F1346</f>
        <v>420995.82</v>
      </c>
      <c r="H1346" s="7">
        <f>IF(J1346=TRUE(),E1346,0)</f>
        <v>353778</v>
      </c>
      <c r="I1346" s="7">
        <f>IF(K1346=TRUE(),E1346,0)</f>
        <v>0</v>
      </c>
      <c r="J1346" t="b" s="4">
        <v>1</v>
      </c>
      <c r="K1346" t="b" s="4">
        <v>0</v>
      </c>
    </row>
    <row r="1347" ht="17" customHeight="1">
      <c r="A1347" s="4">
        <v>1060</v>
      </c>
      <c r="B1347" s="5">
        <v>42217</v>
      </c>
      <c r="C1347" t="s" s="3">
        <v>230</v>
      </c>
      <c r="D1347" t="s" s="3">
        <v>702</v>
      </c>
      <c r="E1347" s="6">
        <v>490692</v>
      </c>
      <c r="F1347" s="6">
        <f>E1347*0.19</f>
        <v>93231.48</v>
      </c>
      <c r="G1347" s="6">
        <f>E1347+F1347</f>
        <v>583923.48</v>
      </c>
      <c r="H1347" s="7">
        <f>IF(J1347=TRUE(),E1347,0)</f>
        <v>490692</v>
      </c>
      <c r="I1347" s="7">
        <f>IF(K1347=TRUE(),E1347,0)</f>
        <v>0</v>
      </c>
      <c r="J1347" t="b" s="4">
        <v>1</v>
      </c>
      <c r="K1347" t="b" s="4">
        <v>0</v>
      </c>
    </row>
    <row r="1348" ht="17" customHeight="1">
      <c r="A1348" s="4">
        <v>1061</v>
      </c>
      <c r="B1348" s="5">
        <v>42217</v>
      </c>
      <c r="C1348" t="s" s="3">
        <v>632</v>
      </c>
      <c r="D1348" t="s" s="3">
        <v>159</v>
      </c>
      <c r="E1348" s="6">
        <v>107890</v>
      </c>
      <c r="F1348" s="6">
        <f>E1348*0.19</f>
        <v>20499.1</v>
      </c>
      <c r="G1348" s="6">
        <f>E1348+F1348</f>
        <v>128389.1</v>
      </c>
      <c r="H1348" s="7">
        <f>IF(J1348=TRUE(),E1348,0)</f>
        <v>107890</v>
      </c>
      <c r="I1348" s="7">
        <f>IF(K1348=TRUE(),E1348,0)</f>
        <v>0</v>
      </c>
      <c r="J1348" t="b" s="4">
        <v>1</v>
      </c>
      <c r="K1348" t="b" s="4">
        <v>0</v>
      </c>
    </row>
    <row r="1349" ht="17" customHeight="1">
      <c r="A1349" s="4">
        <v>1062</v>
      </c>
      <c r="B1349" s="5">
        <v>42217</v>
      </c>
      <c r="C1349" t="s" s="3">
        <v>176</v>
      </c>
      <c r="D1349" t="s" s="3">
        <v>702</v>
      </c>
      <c r="E1349" s="6">
        <v>164238</v>
      </c>
      <c r="F1349" s="6">
        <f>E1349*0.19</f>
        <v>31205.22</v>
      </c>
      <c r="G1349" s="6">
        <f>E1349+F1349</f>
        <v>195443.22</v>
      </c>
      <c r="H1349" s="7">
        <f>IF(J1349=TRUE(),E1349,0)</f>
        <v>164238</v>
      </c>
      <c r="I1349" s="7">
        <f>IF(K1349=TRUE(),E1349,0)</f>
        <v>0</v>
      </c>
      <c r="J1349" t="b" s="4">
        <v>1</v>
      </c>
      <c r="K1349" t="b" s="4">
        <v>0</v>
      </c>
    </row>
    <row r="1350" ht="17" customHeight="1">
      <c r="A1350" s="4">
        <v>1063</v>
      </c>
      <c r="B1350" s="5">
        <v>42217</v>
      </c>
      <c r="C1350" t="s" s="3">
        <v>176</v>
      </c>
      <c r="D1350" t="s" s="3">
        <v>703</v>
      </c>
      <c r="E1350" s="6">
        <v>247450</v>
      </c>
      <c r="F1350" s="6">
        <f>E1350*0.19</f>
        <v>47015.5</v>
      </c>
      <c r="G1350" s="6">
        <f>E1350+F1350</f>
        <v>294465.5</v>
      </c>
      <c r="H1350" s="7">
        <f>IF(J1350=TRUE(),E1350,0)</f>
        <v>247450</v>
      </c>
      <c r="I1350" s="7">
        <f>IF(K1350=TRUE(),E1350,0)</f>
        <v>0</v>
      </c>
      <c r="J1350" t="b" s="4">
        <v>1</v>
      </c>
      <c r="K1350" t="b" s="4">
        <v>0</v>
      </c>
    </row>
    <row r="1351" ht="17" customHeight="1">
      <c r="A1351" s="4">
        <v>1064</v>
      </c>
      <c r="B1351" s="5">
        <v>42217</v>
      </c>
      <c r="C1351" t="s" s="3">
        <v>704</v>
      </c>
      <c r="D1351" t="s" s="3">
        <v>705</v>
      </c>
      <c r="E1351" s="6">
        <v>493800</v>
      </c>
      <c r="F1351" s="6">
        <f>E1351*0.19</f>
        <v>93822</v>
      </c>
      <c r="G1351" s="6">
        <f>E1351+F1351</f>
        <v>587622</v>
      </c>
      <c r="H1351" s="7">
        <f>IF(J1351=TRUE(),E1351,0)</f>
        <v>0</v>
      </c>
      <c r="I1351" s="7">
        <f>IF(K1351=TRUE(),E1351,0)</f>
        <v>0</v>
      </c>
      <c r="J1351" t="b" s="4">
        <v>0</v>
      </c>
      <c r="K1351" t="b" s="4">
        <v>0</v>
      </c>
    </row>
    <row r="1352" ht="17" customHeight="1">
      <c r="A1352" s="4">
        <v>1065</v>
      </c>
      <c r="B1352" s="5">
        <v>42217</v>
      </c>
      <c r="C1352" t="s" s="3">
        <v>487</v>
      </c>
      <c r="D1352" t="s" s="3">
        <v>706</v>
      </c>
      <c r="E1352" s="6">
        <v>972338</v>
      </c>
      <c r="F1352" s="6">
        <f>E1352*0.19</f>
        <v>184744.22</v>
      </c>
      <c r="G1352" s="6">
        <f>E1352+F1352</f>
        <v>1157082.22</v>
      </c>
      <c r="H1352" s="7">
        <f>IF(J1352=TRUE(),E1352,0)</f>
        <v>972338</v>
      </c>
      <c r="I1352" s="7">
        <f>IF(K1352=TRUE(),E1352,0)</f>
        <v>0</v>
      </c>
      <c r="J1352" t="b" s="4">
        <v>1</v>
      </c>
      <c r="K1352" t="b" s="4">
        <v>0</v>
      </c>
    </row>
    <row r="1353" ht="17" customHeight="1">
      <c r="A1353" s="4">
        <v>1066</v>
      </c>
      <c r="B1353" s="5">
        <v>42217</v>
      </c>
      <c r="C1353" t="s" s="3">
        <v>487</v>
      </c>
      <c r="D1353" t="s" s="3">
        <v>707</v>
      </c>
      <c r="E1353" s="6">
        <v>623037</v>
      </c>
      <c r="F1353" s="6">
        <f>E1353*0.19</f>
        <v>118377.03</v>
      </c>
      <c r="G1353" s="6">
        <f>E1353+F1353</f>
        <v>741414.03</v>
      </c>
      <c r="H1353" s="7">
        <f>IF(J1353=TRUE(),E1353,0)</f>
        <v>623037</v>
      </c>
      <c r="I1353" s="7">
        <f>IF(K1353=TRUE(),E1353,0)</f>
        <v>0</v>
      </c>
      <c r="J1353" t="b" s="4">
        <v>1</v>
      </c>
      <c r="K1353" t="b" s="4">
        <v>0</v>
      </c>
    </row>
    <row r="1354" ht="17" customHeight="1">
      <c r="A1354" s="4">
        <v>1067</v>
      </c>
      <c r="B1354" s="5">
        <v>42217</v>
      </c>
      <c r="C1354" t="s" s="3">
        <v>42</v>
      </c>
      <c r="D1354" t="s" s="3">
        <v>700</v>
      </c>
      <c r="E1354" s="6">
        <v>920883</v>
      </c>
      <c r="F1354" s="6">
        <f>E1354*0.19</f>
        <v>174967.77</v>
      </c>
      <c r="G1354" s="6">
        <f>E1354+F1354</f>
        <v>1095850.77</v>
      </c>
      <c r="H1354" s="7">
        <f>IF(J1354=TRUE(),E1354,0)</f>
        <v>920883</v>
      </c>
      <c r="I1354" s="7">
        <f>IF(K1354=TRUE(),E1354,0)</f>
        <v>0</v>
      </c>
      <c r="J1354" t="b" s="4">
        <v>1</v>
      </c>
      <c r="K1354" t="b" s="4">
        <v>0</v>
      </c>
    </row>
    <row r="1355" ht="17" customHeight="1">
      <c r="A1355" s="4">
        <v>1068</v>
      </c>
      <c r="B1355" s="5">
        <v>42217</v>
      </c>
      <c r="C1355" t="s" s="3">
        <v>34</v>
      </c>
      <c r="D1355" t="s" s="3">
        <v>700</v>
      </c>
      <c r="E1355" s="6">
        <v>214823</v>
      </c>
      <c r="F1355" s="6">
        <f>E1355*0.19</f>
        <v>40816.37</v>
      </c>
      <c r="G1355" s="6">
        <f>E1355+F1355</f>
        <v>255639.37</v>
      </c>
      <c r="H1355" s="7">
        <f>IF(J1355=TRUE(),E1355,0)</f>
        <v>214823</v>
      </c>
      <c r="I1355" s="7">
        <f>IF(K1355=TRUE(),E1355,0)</f>
        <v>0</v>
      </c>
      <c r="J1355" t="b" s="4">
        <v>1</v>
      </c>
      <c r="K1355" t="b" s="4">
        <v>0</v>
      </c>
    </row>
    <row r="1356" ht="17" customHeight="1">
      <c r="A1356" s="4">
        <v>1069</v>
      </c>
      <c r="B1356" s="5">
        <v>42217</v>
      </c>
      <c r="C1356" t="s" s="3">
        <v>384</v>
      </c>
      <c r="D1356" t="s" s="3">
        <v>700</v>
      </c>
      <c r="E1356" s="6">
        <v>87632</v>
      </c>
      <c r="F1356" s="6">
        <f>E1356*0.19</f>
        <v>16650.08</v>
      </c>
      <c r="G1356" s="6">
        <f>E1356+F1356</f>
        <v>104282.08</v>
      </c>
      <c r="H1356" s="7">
        <f>IF(J1356=TRUE(),E1356,0)</f>
        <v>87632</v>
      </c>
      <c r="I1356" s="7">
        <f>IF(K1356=TRUE(),E1356,0)</f>
        <v>0</v>
      </c>
      <c r="J1356" t="b" s="4">
        <v>1</v>
      </c>
      <c r="K1356" t="b" s="4">
        <v>0</v>
      </c>
    </row>
    <row r="1357" ht="17" customHeight="1">
      <c r="A1357" s="4">
        <v>1070</v>
      </c>
      <c r="B1357" s="5">
        <v>42217</v>
      </c>
      <c r="C1357" t="s" s="3">
        <v>620</v>
      </c>
      <c r="D1357" t="s" s="3">
        <v>700</v>
      </c>
      <c r="E1357" s="6">
        <v>87632</v>
      </c>
      <c r="F1357" s="6">
        <f>E1357*0.19</f>
        <v>16650.08</v>
      </c>
      <c r="G1357" s="6">
        <f>E1357+F1357</f>
        <v>104282.08</v>
      </c>
      <c r="H1357" s="7">
        <f>IF(J1357=TRUE(),E1357,0)</f>
        <v>87632</v>
      </c>
      <c r="I1357" s="7">
        <f>IF(K1357=TRUE(),E1357,0)</f>
        <v>0</v>
      </c>
      <c r="J1357" t="b" s="4">
        <v>1</v>
      </c>
      <c r="K1357" t="b" s="4">
        <v>0</v>
      </c>
    </row>
    <row r="1358" ht="17" customHeight="1">
      <c r="A1358" s="4">
        <v>1071</v>
      </c>
      <c r="B1358" s="5">
        <v>42217</v>
      </c>
      <c r="C1358" t="s" s="3">
        <v>634</v>
      </c>
      <c r="D1358" t="s" s="3">
        <v>700</v>
      </c>
      <c r="E1358" s="6">
        <v>116675</v>
      </c>
      <c r="F1358" s="6">
        <f>E1358*0.19</f>
        <v>22168.25</v>
      </c>
      <c r="G1358" s="6">
        <f>E1358+F1358</f>
        <v>138843.25</v>
      </c>
      <c r="H1358" s="7">
        <f>IF(J1358=TRUE(),E1358,0)</f>
        <v>116675</v>
      </c>
      <c r="I1358" s="7">
        <f>IF(K1358=TRUE(),E1358,0)</f>
        <v>0</v>
      </c>
      <c r="J1358" t="b" s="4">
        <v>1</v>
      </c>
      <c r="K1358" t="b" s="4">
        <v>0</v>
      </c>
    </row>
    <row r="1359" ht="17" customHeight="1">
      <c r="A1359" s="4">
        <v>1072</v>
      </c>
      <c r="B1359" s="5">
        <v>42217</v>
      </c>
      <c r="C1359" t="s" s="3">
        <v>591</v>
      </c>
      <c r="D1359" t="s" s="3">
        <v>700</v>
      </c>
      <c r="E1359" s="6">
        <v>58588</v>
      </c>
      <c r="F1359" s="6">
        <f>E1359*0.19</f>
        <v>11131.72</v>
      </c>
      <c r="G1359" s="6">
        <f>E1359+F1359</f>
        <v>69719.72</v>
      </c>
      <c r="H1359" s="7">
        <f>IF(J1359=TRUE(),E1359,0)</f>
        <v>58588</v>
      </c>
      <c r="I1359" s="7">
        <f>IF(K1359=TRUE(),E1359,0)</f>
        <v>0</v>
      </c>
      <c r="J1359" t="b" s="4">
        <v>1</v>
      </c>
      <c r="K1359" t="b" s="4">
        <v>0</v>
      </c>
    </row>
    <row r="1360" ht="17" customHeight="1">
      <c r="A1360" s="4">
        <v>1073</v>
      </c>
      <c r="B1360" s="5">
        <v>42217</v>
      </c>
      <c r="C1360" t="s" s="3">
        <v>635</v>
      </c>
      <c r="D1360" t="s" s="3">
        <v>700</v>
      </c>
      <c r="E1360" s="6">
        <v>116675</v>
      </c>
      <c r="F1360" s="6">
        <f>E1360*0.19</f>
        <v>22168.25</v>
      </c>
      <c r="G1360" s="6">
        <f>E1360+F1360</f>
        <v>138843.25</v>
      </c>
      <c r="H1360" s="7">
        <f>IF(J1360=TRUE(),E1360,0)</f>
        <v>116675</v>
      </c>
      <c r="I1360" s="7">
        <f>IF(K1360=TRUE(),E1360,0)</f>
        <v>0</v>
      </c>
      <c r="J1360" t="b" s="4">
        <v>1</v>
      </c>
      <c r="K1360" t="b" s="4">
        <v>0</v>
      </c>
    </row>
    <row r="1361" ht="17" customHeight="1">
      <c r="A1361" s="4">
        <v>1074</v>
      </c>
      <c r="B1361" s="5">
        <v>42217</v>
      </c>
      <c r="C1361" t="s" s="3">
        <v>658</v>
      </c>
      <c r="D1361" t="s" s="3">
        <v>159</v>
      </c>
      <c r="E1361" s="6">
        <v>29356</v>
      </c>
      <c r="F1361" s="6">
        <f>E1361*0.19</f>
        <v>5577.64</v>
      </c>
      <c r="G1361" s="6">
        <f>E1361+F1361</f>
        <v>34933.64</v>
      </c>
      <c r="H1361" s="7">
        <f>IF(J1361=TRUE(),E1361,0)</f>
        <v>29356</v>
      </c>
      <c r="I1361" s="7">
        <f>IF(K1361=TRUE(),E1361,0)</f>
        <v>0</v>
      </c>
      <c r="J1361" t="b" s="4">
        <v>1</v>
      </c>
      <c r="K1361" t="b" s="4">
        <v>0</v>
      </c>
    </row>
    <row r="1362" ht="17" customHeight="1">
      <c r="A1362" s="4">
        <v>1075</v>
      </c>
      <c r="B1362" s="5">
        <v>42217</v>
      </c>
      <c r="C1362" t="s" s="3">
        <v>183</v>
      </c>
      <c r="D1362" t="s" s="3">
        <v>708</v>
      </c>
      <c r="E1362" s="6">
        <v>216755</v>
      </c>
      <c r="F1362" s="6">
        <f>E1362*0.19</f>
        <v>41183.45</v>
      </c>
      <c r="G1362" s="6">
        <f>E1362+F1362</f>
        <v>257938.45</v>
      </c>
      <c r="H1362" s="7">
        <f>IF(J1362=TRUE(),E1362,0)</f>
        <v>216755</v>
      </c>
      <c r="I1362" s="7">
        <f>IF(K1362=TRUE(),E1362,0)</f>
        <v>0</v>
      </c>
      <c r="J1362" t="b" s="4">
        <v>1</v>
      </c>
      <c r="K1362" t="b" s="4">
        <v>0</v>
      </c>
    </row>
    <row r="1363" ht="17" customHeight="1">
      <c r="A1363" s="4">
        <v>1076</v>
      </c>
      <c r="B1363" s="5">
        <v>42217</v>
      </c>
      <c r="C1363" t="s" s="3">
        <v>610</v>
      </c>
      <c r="D1363" t="s" s="3">
        <v>709</v>
      </c>
      <c r="E1363" s="6">
        <v>334001</v>
      </c>
      <c r="F1363" s="6">
        <f>E1363*0.19</f>
        <v>63460.19</v>
      </c>
      <c r="G1363" s="6">
        <f>E1363+F1363</f>
        <v>397461.19</v>
      </c>
      <c r="H1363" s="7">
        <f>IF(J1363=TRUE(),E1363,0)</f>
        <v>334001</v>
      </c>
      <c r="I1363" s="7">
        <f>IF(K1363=TRUE(),E1363,0)</f>
        <v>0</v>
      </c>
      <c r="J1363" t="b" s="4">
        <v>1</v>
      </c>
      <c r="K1363" t="b" s="4">
        <v>0</v>
      </c>
    </row>
    <row r="1364" ht="17" customHeight="1">
      <c r="A1364" s="4">
        <v>1077</v>
      </c>
      <c r="B1364" s="5">
        <v>42217</v>
      </c>
      <c r="C1364" t="s" s="3">
        <v>98</v>
      </c>
      <c r="D1364" t="s" s="3">
        <v>710</v>
      </c>
      <c r="E1364" s="25">
        <v>488734</v>
      </c>
      <c r="F1364" s="6">
        <f>E1364*0.19</f>
        <v>92859.460000000006</v>
      </c>
      <c r="G1364" s="6">
        <f>E1364+F1364</f>
        <v>581593.46</v>
      </c>
      <c r="H1364" s="7">
        <f>IF(J1364=TRUE(),E1364,0)</f>
        <v>488734</v>
      </c>
      <c r="I1364" s="7">
        <f>IF(K1364=TRUE(),E1364,0)</f>
        <v>0</v>
      </c>
      <c r="J1364" t="b" s="4">
        <v>1</v>
      </c>
      <c r="K1364" t="b" s="4">
        <v>0</v>
      </c>
    </row>
    <row r="1365" ht="17" customHeight="1">
      <c r="A1365" s="4">
        <v>1078</v>
      </c>
      <c r="B1365" s="5">
        <v>42217</v>
      </c>
      <c r="C1365" t="s" s="3">
        <v>98</v>
      </c>
      <c r="D1365" t="s" s="3">
        <v>711</v>
      </c>
      <c r="E1365" s="25">
        <v>40060</v>
      </c>
      <c r="F1365" s="6">
        <f>E1365*0.19</f>
        <v>7611.4</v>
      </c>
      <c r="G1365" s="6">
        <f>E1365+F1365</f>
        <v>47671.4</v>
      </c>
      <c r="H1365" s="7">
        <f>IF(J1365=TRUE(),E1365,0)</f>
        <v>40060</v>
      </c>
      <c r="I1365" s="7">
        <f>IF(K1365=TRUE(),E1365,0)</f>
        <v>0</v>
      </c>
      <c r="J1365" t="b" s="4">
        <v>1</v>
      </c>
      <c r="K1365" t="b" s="4">
        <v>0</v>
      </c>
    </row>
    <row r="1366" ht="17" customHeight="1">
      <c r="A1366" s="4">
        <v>1079</v>
      </c>
      <c r="B1366" s="5">
        <v>42217</v>
      </c>
      <c r="C1366" t="s" s="3">
        <v>98</v>
      </c>
      <c r="D1366" t="s" s="3">
        <v>712</v>
      </c>
      <c r="E1366" s="6">
        <v>165248</v>
      </c>
      <c r="F1366" s="6">
        <f>E1366*0.19</f>
        <v>31397.12</v>
      </c>
      <c r="G1366" s="6">
        <f>E1366+F1366</f>
        <v>196645.12</v>
      </c>
      <c r="H1366" s="7">
        <f>IF(J1366=TRUE(),E1366,0)</f>
        <v>165248</v>
      </c>
      <c r="I1366" s="7">
        <f>IF(K1366=TRUE(),E1366,0)</f>
        <v>0</v>
      </c>
      <c r="J1366" t="b" s="4">
        <v>1</v>
      </c>
      <c r="K1366" t="b" s="4">
        <v>0</v>
      </c>
    </row>
    <row r="1367" ht="17.5" customHeight="1">
      <c r="A1367" s="9">
        <v>1080</v>
      </c>
      <c r="B1367" s="5">
        <v>42217</v>
      </c>
      <c r="C1367" t="s" s="10">
        <v>253</v>
      </c>
      <c r="D1367" t="s" s="10">
        <v>713</v>
      </c>
      <c r="E1367" s="11">
        <v>387800</v>
      </c>
      <c r="F1367" s="11">
        <f>E1367*0.19</f>
        <v>73682</v>
      </c>
      <c r="G1367" s="11">
        <f>E1367+F1367</f>
        <v>461482</v>
      </c>
      <c r="H1367" s="12">
        <f>IF(J1367=TRUE(),E1367,0)</f>
        <v>0</v>
      </c>
      <c r="I1367" s="12">
        <f>IF(K1367=TRUE(),E1367,0)</f>
        <v>0</v>
      </c>
      <c r="J1367" t="b" s="9">
        <v>0</v>
      </c>
      <c r="K1367" t="b" s="9">
        <v>0</v>
      </c>
    </row>
    <row r="1368" ht="18" customHeight="1">
      <c r="A1368" s="13">
        <f>COUNT(A1334:A1367)</f>
        <v>34</v>
      </c>
      <c r="B1368" t="s" s="3">
        <v>714</v>
      </c>
      <c r="C1368" t="s" s="14">
        <v>7</v>
      </c>
      <c r="D1368" s="14"/>
      <c r="E1368" s="15">
        <f>SUM(E1334:E1367)</f>
        <v>10863302</v>
      </c>
      <c r="F1368" s="15">
        <f>SUM(F1334:F1367)</f>
        <v>2064027.38</v>
      </c>
      <c r="G1368" s="16">
        <f>SUM(G1334:G1367)</f>
        <v>12927329.38</v>
      </c>
      <c r="H1368" s="17">
        <f>SUM(H1334:H1367)</f>
        <v>8804102</v>
      </c>
      <c r="I1368" s="17"/>
      <c r="J1368" s="18">
        <f>COUNTIF(J1334:J1367,TRUE())</f>
        <v>30</v>
      </c>
      <c r="K1368" s="19"/>
    </row>
    <row r="1369" ht="17.5" customHeight="1">
      <c r="A1369" s="20"/>
      <c r="B1369" s="5"/>
      <c r="C1369" s="20"/>
      <c r="D1369" s="21"/>
      <c r="E1369" s="24"/>
      <c r="F1369" s="24"/>
      <c r="G1369" s="24"/>
      <c r="H1369" s="22"/>
      <c r="I1369" s="22"/>
      <c r="J1369" s="20"/>
      <c r="K1369" s="20"/>
    </row>
    <row r="1370" ht="17" customHeight="1">
      <c r="A1370" s="4">
        <v>1081</v>
      </c>
      <c r="B1370" s="5">
        <v>42248</v>
      </c>
      <c r="C1370" t="s" s="3">
        <v>357</v>
      </c>
      <c r="D1370" t="s" s="3">
        <v>715</v>
      </c>
      <c r="E1370" s="6">
        <v>355284</v>
      </c>
      <c r="F1370" s="6">
        <f>E1370*0.19</f>
        <v>67503.960000000006</v>
      </c>
      <c r="G1370" s="6">
        <f>E1370+F1370</f>
        <v>422787.96</v>
      </c>
      <c r="H1370" s="7">
        <f>IF(J1370=TRUE(),E1370,0)</f>
        <v>355284</v>
      </c>
      <c r="I1370" s="7">
        <f>IF(K1370=TRUE(),E1370,0)</f>
        <v>0</v>
      </c>
      <c r="J1370" t="b" s="4">
        <v>1</v>
      </c>
      <c r="K1370" t="b" s="4">
        <v>0</v>
      </c>
    </row>
    <row r="1371" ht="17" customHeight="1">
      <c r="A1371" s="4">
        <v>1082</v>
      </c>
      <c r="B1371" s="5">
        <v>42248</v>
      </c>
      <c r="C1371" t="s" s="3">
        <v>716</v>
      </c>
      <c r="D1371" t="s" s="3">
        <v>717</v>
      </c>
      <c r="E1371" s="6">
        <v>2333367</v>
      </c>
      <c r="F1371" s="6">
        <f>E1371*0.19</f>
        <v>443339.73</v>
      </c>
      <c r="G1371" s="6">
        <f>E1371+F1371</f>
        <v>2776706.73</v>
      </c>
      <c r="H1371" s="7">
        <f>IF(J1371=TRUE(),E1371,0)</f>
        <v>0</v>
      </c>
      <c r="I1371" s="7">
        <f>IF(K1371=TRUE(),E1371,0)</f>
        <v>0</v>
      </c>
      <c r="J1371" t="b" s="4">
        <v>0</v>
      </c>
      <c r="K1371" t="b" s="4">
        <v>0</v>
      </c>
    </row>
    <row r="1372" ht="17" customHeight="1">
      <c r="A1372" s="4">
        <v>1083</v>
      </c>
      <c r="B1372" s="5">
        <v>42248</v>
      </c>
      <c r="C1372" t="s" s="3">
        <v>15</v>
      </c>
      <c r="D1372" t="s" s="3">
        <v>718</v>
      </c>
      <c r="E1372" s="6">
        <v>868104</v>
      </c>
      <c r="F1372" s="6">
        <f>E1372*0.19</f>
        <v>164939.76</v>
      </c>
      <c r="G1372" s="6">
        <f>E1372+F1372</f>
        <v>1033043.76</v>
      </c>
      <c r="H1372" s="7">
        <f>IF(J1372=TRUE(),E1372,0)</f>
        <v>0</v>
      </c>
      <c r="I1372" s="7">
        <f>IF(K1372=TRUE(),E1372,0)</f>
        <v>0</v>
      </c>
      <c r="J1372" t="b" s="4">
        <v>0</v>
      </c>
      <c r="K1372" t="b" s="4">
        <v>0</v>
      </c>
    </row>
    <row r="1373" ht="17" customHeight="1">
      <c r="A1373" s="4">
        <v>1084</v>
      </c>
      <c r="B1373" s="5">
        <v>42248</v>
      </c>
      <c r="C1373" t="s" s="3">
        <v>719</v>
      </c>
      <c r="D1373" t="s" s="3">
        <v>180</v>
      </c>
      <c r="E1373" s="6">
        <v>175374</v>
      </c>
      <c r="F1373" s="6">
        <f>E1373*0.19</f>
        <v>33321.06</v>
      </c>
      <c r="G1373" s="6">
        <f>E1373+F1373</f>
        <v>208695.06</v>
      </c>
      <c r="H1373" s="7">
        <f>IF(J1373=TRUE(),E1373,0)</f>
        <v>175374</v>
      </c>
      <c r="I1373" s="7">
        <f>IF(K1373=TRUE(),E1373,0)</f>
        <v>0</v>
      </c>
      <c r="J1373" t="b" s="4">
        <v>1</v>
      </c>
      <c r="K1373" t="b" s="4">
        <v>0</v>
      </c>
    </row>
    <row r="1374" ht="17" customHeight="1">
      <c r="A1374" s="4">
        <v>1085</v>
      </c>
      <c r="B1374" s="5">
        <v>42248</v>
      </c>
      <c r="C1374" t="s" s="3">
        <v>26</v>
      </c>
      <c r="D1374" t="s" s="3">
        <v>720</v>
      </c>
      <c r="E1374" s="6">
        <v>1191827</v>
      </c>
      <c r="F1374" s="6">
        <f>E1374*0.19</f>
        <v>226447.13</v>
      </c>
      <c r="G1374" s="6">
        <f>E1374+F1374</f>
        <v>1418274.13</v>
      </c>
      <c r="H1374" s="7">
        <f>IF(J1374=TRUE(),E1374,0)</f>
        <v>1191827</v>
      </c>
      <c r="I1374" s="7">
        <f>IF(K1374=TRUE(),E1374,0)</f>
        <v>0</v>
      </c>
      <c r="J1374" t="b" s="4">
        <v>1</v>
      </c>
      <c r="K1374" t="b" s="4">
        <v>0</v>
      </c>
    </row>
    <row r="1375" ht="17" customHeight="1">
      <c r="A1375" s="4">
        <v>1086</v>
      </c>
      <c r="B1375" s="5">
        <v>42248</v>
      </c>
      <c r="C1375" t="s" s="3">
        <v>253</v>
      </c>
      <c r="D1375" t="s" s="3">
        <v>653</v>
      </c>
      <c r="E1375" s="6">
        <v>1028154</v>
      </c>
      <c r="F1375" s="6">
        <f>E1375*0.19</f>
        <v>195349.26</v>
      </c>
      <c r="G1375" s="6">
        <f>E1375+F1375</f>
        <v>1223503.26</v>
      </c>
      <c r="H1375" s="7">
        <f>IF(J1375=TRUE(),E1375,0)</f>
        <v>1028154</v>
      </c>
      <c r="I1375" s="7">
        <f>IF(K1375=TRUE(),E1375,0)</f>
        <v>0</v>
      </c>
      <c r="J1375" t="b" s="4">
        <v>1</v>
      </c>
      <c r="K1375" t="b" s="4">
        <v>0</v>
      </c>
    </row>
    <row r="1376" ht="17" customHeight="1">
      <c r="A1376" s="4">
        <v>1087</v>
      </c>
      <c r="B1376" s="5">
        <v>42248</v>
      </c>
      <c r="C1376" t="s" s="3">
        <v>253</v>
      </c>
      <c r="D1376" t="s" s="3">
        <v>721</v>
      </c>
      <c r="E1376" s="6">
        <v>313800</v>
      </c>
      <c r="F1376" s="6">
        <f>E1376*0.19</f>
        <v>59622</v>
      </c>
      <c r="G1376" s="6">
        <f>E1376+F1376</f>
        <v>373422</v>
      </c>
      <c r="H1376" s="7">
        <f>IF(J1376=TRUE(),E1376,0)</f>
        <v>313800</v>
      </c>
      <c r="I1376" s="7">
        <f>IF(K1376=TRUE(),E1376,0)</f>
        <v>0</v>
      </c>
      <c r="J1376" t="b" s="4">
        <v>1</v>
      </c>
      <c r="K1376" t="b" s="4">
        <v>0</v>
      </c>
    </row>
    <row r="1377" ht="17" customHeight="1">
      <c r="A1377" s="4">
        <v>1088</v>
      </c>
      <c r="B1377" s="5">
        <v>42248</v>
      </c>
      <c r="C1377" t="s" s="3">
        <v>693</v>
      </c>
      <c r="D1377" t="s" s="3">
        <v>695</v>
      </c>
      <c r="E1377" s="6">
        <v>114079</v>
      </c>
      <c r="F1377" s="6">
        <f>E1377*0.19</f>
        <v>21675.01</v>
      </c>
      <c r="G1377" s="6">
        <f>E1377+F1377</f>
        <v>135754.01</v>
      </c>
      <c r="H1377" s="7">
        <f>IF(J1377=TRUE(),E1377,0)</f>
        <v>114079</v>
      </c>
      <c r="I1377" s="7">
        <f>IF(K1377=TRUE(),E1377,0)</f>
        <v>0</v>
      </c>
      <c r="J1377" t="b" s="4">
        <v>1</v>
      </c>
      <c r="K1377" t="b" s="4">
        <v>0</v>
      </c>
    </row>
    <row r="1378" ht="17" customHeight="1">
      <c r="A1378" s="4">
        <v>1089</v>
      </c>
      <c r="B1378" s="5">
        <v>42275</v>
      </c>
      <c r="C1378" t="s" s="3">
        <v>10</v>
      </c>
      <c r="D1378" t="s" s="3">
        <v>722</v>
      </c>
      <c r="E1378" s="6">
        <v>1158597</v>
      </c>
      <c r="F1378" s="6">
        <f>E1378*0.19</f>
        <v>220133.43</v>
      </c>
      <c r="G1378" s="6">
        <f>E1378+F1378</f>
        <v>1378730.43</v>
      </c>
      <c r="H1378" s="7">
        <f>IF(J1378=TRUE(),E1378,0)</f>
        <v>0</v>
      </c>
      <c r="I1378" s="7">
        <f>IF(K1378=TRUE(),E1378,0)</f>
        <v>0</v>
      </c>
      <c r="J1378" t="b" s="4">
        <v>0</v>
      </c>
      <c r="K1378" t="b" s="4">
        <v>0</v>
      </c>
    </row>
    <row r="1379" ht="17" customHeight="1">
      <c r="A1379" s="4">
        <v>1090</v>
      </c>
      <c r="B1379" s="5">
        <v>42275</v>
      </c>
      <c r="C1379" t="s" s="3">
        <v>10</v>
      </c>
      <c r="D1379" t="s" s="3">
        <v>229</v>
      </c>
      <c r="E1379" s="6">
        <v>665046</v>
      </c>
      <c r="F1379" s="6">
        <f>E1379*0.19</f>
        <v>126358.74</v>
      </c>
      <c r="G1379" s="6">
        <f>E1379+F1379</f>
        <v>791404.74</v>
      </c>
      <c r="H1379" s="7">
        <f>IF(J1379=TRUE(),E1379,0)</f>
        <v>0</v>
      </c>
      <c r="I1379" s="7">
        <f>IF(K1379=TRUE(),E1379,0)</f>
        <v>0</v>
      </c>
      <c r="J1379" t="b" s="4">
        <v>0</v>
      </c>
      <c r="K1379" t="b" s="4">
        <v>0</v>
      </c>
    </row>
    <row r="1380" ht="17" customHeight="1">
      <c r="A1380" s="4">
        <v>1091</v>
      </c>
      <c r="B1380" s="5">
        <v>42248</v>
      </c>
      <c r="C1380" t="s" s="3">
        <v>723</v>
      </c>
      <c r="D1380" t="s" s="3">
        <v>363</v>
      </c>
      <c r="E1380" s="6">
        <v>138550</v>
      </c>
      <c r="F1380" s="6">
        <f>E1380*0.19</f>
        <v>26324.5</v>
      </c>
      <c r="G1380" s="6">
        <f>E1380+F1380</f>
        <v>164874.5</v>
      </c>
      <c r="H1380" s="7">
        <f>IF(J1380=TRUE(),E1380,0)</f>
        <v>0</v>
      </c>
      <c r="I1380" s="7">
        <f>IF(K1380=TRUE(),E1380,0)</f>
        <v>0</v>
      </c>
      <c r="J1380" t="b" s="4">
        <v>0</v>
      </c>
      <c r="K1380" t="b" s="4">
        <v>0</v>
      </c>
    </row>
    <row r="1381" ht="17" customHeight="1">
      <c r="A1381" s="4">
        <v>1092</v>
      </c>
      <c r="B1381" s="5">
        <v>42248</v>
      </c>
      <c r="C1381" t="s" s="3">
        <v>723</v>
      </c>
      <c r="D1381" t="s" s="3">
        <v>724</v>
      </c>
      <c r="E1381" s="6">
        <v>73881</v>
      </c>
      <c r="F1381" s="6">
        <f>E1381*0.19</f>
        <v>14037.39</v>
      </c>
      <c r="G1381" s="6">
        <f>E1381+F1381</f>
        <v>87918.39</v>
      </c>
      <c r="H1381" s="7">
        <f>IF(J1381=TRUE(),E1381,0)</f>
        <v>0</v>
      </c>
      <c r="I1381" s="7">
        <f>IF(K1381=TRUE(),E1381,0)</f>
        <v>0</v>
      </c>
      <c r="J1381" t="b" s="4">
        <v>0</v>
      </c>
      <c r="K1381" t="b" s="4">
        <v>0</v>
      </c>
    </row>
    <row r="1382" ht="17" customHeight="1">
      <c r="A1382" s="4">
        <v>1093</v>
      </c>
      <c r="B1382" s="5">
        <v>42248</v>
      </c>
      <c r="C1382" t="s" s="3">
        <v>723</v>
      </c>
      <c r="D1382" t="s" s="3">
        <v>663</v>
      </c>
      <c r="E1382" s="6">
        <v>607851</v>
      </c>
      <c r="F1382" s="6">
        <f>E1382*0.19</f>
        <v>115491.69</v>
      </c>
      <c r="G1382" s="6">
        <f>E1382+F1382</f>
        <v>723342.6899999999</v>
      </c>
      <c r="H1382" s="7">
        <f>IF(J1382=TRUE(),E1382,0)</f>
        <v>607851</v>
      </c>
      <c r="I1382" s="7">
        <f>IF(K1382=TRUE(),E1382,0)</f>
        <v>0</v>
      </c>
      <c r="J1382" t="b" s="4">
        <v>1</v>
      </c>
      <c r="K1382" t="b" s="4">
        <v>0</v>
      </c>
    </row>
    <row r="1383" ht="17" customHeight="1">
      <c r="A1383" s="4">
        <v>1094</v>
      </c>
      <c r="B1383" s="5">
        <v>42248</v>
      </c>
      <c r="C1383" t="s" s="3">
        <v>487</v>
      </c>
      <c r="D1383" t="s" s="3">
        <v>725</v>
      </c>
      <c r="E1383" s="6">
        <v>980485</v>
      </c>
      <c r="F1383" s="6">
        <f>E1383*0.19</f>
        <v>186292.15</v>
      </c>
      <c r="G1383" s="6">
        <f>E1383+F1383</f>
        <v>1166777.15</v>
      </c>
      <c r="H1383" s="7">
        <f>IF(J1383=TRUE(),E1383,0)</f>
        <v>980485</v>
      </c>
      <c r="I1383" s="7">
        <f>IF(K1383=TRUE(),E1383,0)</f>
        <v>0</v>
      </c>
      <c r="J1383" t="b" s="4">
        <v>1</v>
      </c>
      <c r="K1383" t="b" s="4">
        <v>0</v>
      </c>
    </row>
    <row r="1384" ht="17" customHeight="1">
      <c r="A1384" s="4">
        <v>1095</v>
      </c>
      <c r="B1384" s="5">
        <v>42248</v>
      </c>
      <c r="C1384" t="s" s="3">
        <v>487</v>
      </c>
      <c r="D1384" t="s" s="3">
        <v>726</v>
      </c>
      <c r="E1384" s="6">
        <v>1092111</v>
      </c>
      <c r="F1384" s="6">
        <f>E1384*0.19</f>
        <v>207501.09</v>
      </c>
      <c r="G1384" s="6">
        <f>E1384+F1384</f>
        <v>1299612.09</v>
      </c>
      <c r="H1384" s="7">
        <f>IF(J1384=TRUE(),E1384,0)</f>
        <v>1092111</v>
      </c>
      <c r="I1384" s="7">
        <f>IF(K1384=TRUE(),E1384,0)</f>
        <v>0</v>
      </c>
      <c r="J1384" t="b" s="4">
        <v>1</v>
      </c>
      <c r="K1384" t="b" s="4">
        <v>0</v>
      </c>
    </row>
    <row r="1385" ht="17" customHeight="1">
      <c r="A1385" s="4">
        <v>1096</v>
      </c>
      <c r="B1385" s="5">
        <v>42248</v>
      </c>
      <c r="C1385" t="s" s="3">
        <v>487</v>
      </c>
      <c r="D1385" t="s" s="3">
        <v>612</v>
      </c>
      <c r="E1385" s="6">
        <v>550000</v>
      </c>
      <c r="F1385" s="6">
        <f>E1385*0.19</f>
        <v>104500</v>
      </c>
      <c r="G1385" s="6">
        <f>E1385+F1385</f>
        <v>654500</v>
      </c>
      <c r="H1385" s="7">
        <f>IF(J1385=TRUE(),E1385,0)</f>
        <v>0</v>
      </c>
      <c r="I1385" s="7">
        <f>IF(K1385=TRUE(),E1385,0)</f>
        <v>0</v>
      </c>
      <c r="J1385" t="b" s="4">
        <v>0</v>
      </c>
      <c r="K1385" t="b" s="4">
        <v>0</v>
      </c>
    </row>
    <row r="1386" ht="17" customHeight="1">
      <c r="A1386" s="4">
        <v>1097</v>
      </c>
      <c r="B1386" s="5">
        <v>42248</v>
      </c>
      <c r="C1386" t="s" s="3">
        <v>298</v>
      </c>
      <c r="D1386" t="s" s="3">
        <v>727</v>
      </c>
      <c r="E1386" s="6">
        <v>147750</v>
      </c>
      <c r="F1386" s="6">
        <f>E1386*0.19</f>
        <v>28072.5</v>
      </c>
      <c r="G1386" s="6">
        <f>E1386+F1386</f>
        <v>175822.5</v>
      </c>
      <c r="H1386" s="7">
        <f>IF(J1386=TRUE(),E1386,0)</f>
        <v>147750</v>
      </c>
      <c r="I1386" s="7">
        <f>IF(K1386=TRUE(),E1386,0)</f>
        <v>0</v>
      </c>
      <c r="J1386" t="b" s="4">
        <v>1</v>
      </c>
      <c r="K1386" t="b" s="4">
        <v>0</v>
      </c>
    </row>
    <row r="1387" ht="17" customHeight="1">
      <c r="A1387" s="4">
        <v>1098</v>
      </c>
      <c r="B1387" s="5">
        <v>42248</v>
      </c>
      <c r="C1387" t="s" s="3">
        <v>420</v>
      </c>
      <c r="D1387" t="s" s="3">
        <v>727</v>
      </c>
      <c r="E1387" s="6">
        <v>200790</v>
      </c>
      <c r="F1387" s="6">
        <f>E1387*0.19</f>
        <v>38150.1</v>
      </c>
      <c r="G1387" s="6">
        <f>E1387+F1387</f>
        <v>238940.1</v>
      </c>
      <c r="H1387" s="7">
        <f>IF(J1387=TRUE(),E1387,0)</f>
        <v>200790</v>
      </c>
      <c r="I1387" s="7">
        <f>IF(K1387=TRUE(),E1387,0)</f>
        <v>0</v>
      </c>
      <c r="J1387" t="b" s="4">
        <v>1</v>
      </c>
      <c r="K1387" t="b" s="4">
        <v>0</v>
      </c>
    </row>
    <row r="1388" ht="17" customHeight="1">
      <c r="A1388" s="4">
        <v>1099</v>
      </c>
      <c r="B1388" s="5">
        <v>42248</v>
      </c>
      <c r="C1388" t="s" s="3">
        <v>532</v>
      </c>
      <c r="D1388" t="s" s="3">
        <v>727</v>
      </c>
      <c r="E1388" s="6">
        <v>552172</v>
      </c>
      <c r="F1388" s="6">
        <f>E1388*0.19</f>
        <v>104912.68</v>
      </c>
      <c r="G1388" s="6">
        <f>E1388+F1388</f>
        <v>657084.6800000001</v>
      </c>
      <c r="H1388" s="7">
        <f>IF(J1388=TRUE(),E1388,0)</f>
        <v>552172</v>
      </c>
      <c r="I1388" s="7">
        <f>IF(K1388=TRUE(),E1388,0)</f>
        <v>0</v>
      </c>
      <c r="J1388" t="b" s="4">
        <v>1</v>
      </c>
      <c r="K1388" t="b" s="4">
        <v>0</v>
      </c>
    </row>
    <row r="1389" ht="17" customHeight="1">
      <c r="A1389" s="4">
        <v>1100</v>
      </c>
      <c r="B1389" s="5">
        <v>42248</v>
      </c>
      <c r="C1389" t="s" s="3">
        <v>532</v>
      </c>
      <c r="D1389" t="s" s="3">
        <v>727</v>
      </c>
      <c r="E1389" s="6">
        <v>453546</v>
      </c>
      <c r="F1389" s="6">
        <f>E1389*0.19</f>
        <v>86173.740000000005</v>
      </c>
      <c r="G1389" s="6">
        <f>E1389+F1389</f>
        <v>539719.74</v>
      </c>
      <c r="H1389" s="7">
        <f>IF(J1389=TRUE(),E1389,0)</f>
        <v>453546</v>
      </c>
      <c r="I1389" s="7">
        <f>IF(K1389=TRUE(),E1389,0)</f>
        <v>0</v>
      </c>
      <c r="J1389" t="b" s="4">
        <v>1</v>
      </c>
      <c r="K1389" t="b" s="4">
        <v>0</v>
      </c>
    </row>
    <row r="1390" ht="17" customHeight="1">
      <c r="A1390" s="4">
        <v>1101</v>
      </c>
      <c r="B1390" s="5">
        <v>42248</v>
      </c>
      <c r="C1390" t="s" s="3">
        <v>298</v>
      </c>
      <c r="D1390" t="s" s="3">
        <v>727</v>
      </c>
      <c r="E1390" s="6">
        <v>352758</v>
      </c>
      <c r="F1390" s="6">
        <f>E1390*0.19</f>
        <v>67024.02</v>
      </c>
      <c r="G1390" s="6">
        <f>E1390+F1390</f>
        <v>419782.02</v>
      </c>
      <c r="H1390" s="7">
        <f>IF(J1390=TRUE(),E1390,0)</f>
        <v>352758</v>
      </c>
      <c r="I1390" s="7">
        <f>IF(K1390=TRUE(),E1390,0)</f>
        <v>0</v>
      </c>
      <c r="J1390" t="b" s="4">
        <v>1</v>
      </c>
      <c r="K1390" t="b" s="4">
        <v>0</v>
      </c>
    </row>
    <row r="1391" ht="17" customHeight="1">
      <c r="A1391" s="4">
        <v>1102</v>
      </c>
      <c r="B1391" s="5">
        <v>42248</v>
      </c>
      <c r="C1391" t="s" s="3">
        <v>420</v>
      </c>
      <c r="D1391" t="s" s="3">
        <v>727</v>
      </c>
      <c r="E1391" s="6">
        <v>403152</v>
      </c>
      <c r="F1391" s="6">
        <f>E1391*0.19</f>
        <v>76598.88</v>
      </c>
      <c r="G1391" s="6">
        <f>E1391+F1391</f>
        <v>479750.88</v>
      </c>
      <c r="H1391" s="7">
        <f>IF(J1391=TRUE(),E1391,0)</f>
        <v>403152</v>
      </c>
      <c r="I1391" s="7">
        <f>IF(K1391=TRUE(),E1391,0)</f>
        <v>0</v>
      </c>
      <c r="J1391" t="b" s="4">
        <v>1</v>
      </c>
      <c r="K1391" t="b" s="4">
        <v>0</v>
      </c>
    </row>
    <row r="1392" ht="17" customHeight="1">
      <c r="A1392" s="4">
        <v>1103</v>
      </c>
      <c r="B1392" s="5">
        <v>42248</v>
      </c>
      <c r="C1392" t="s" s="3">
        <v>728</v>
      </c>
      <c r="D1392" t="s" s="3">
        <v>729</v>
      </c>
      <c r="E1392" s="6">
        <v>1098403</v>
      </c>
      <c r="F1392" s="6">
        <f>E1392*0.19</f>
        <v>208696.57</v>
      </c>
      <c r="G1392" s="6">
        <f>E1392+F1392</f>
        <v>1307099.57</v>
      </c>
      <c r="H1392" s="7">
        <f>IF(J1392=TRUE(),E1392,0)</f>
        <v>1098403</v>
      </c>
      <c r="I1392" s="7">
        <f>IF(K1392=TRUE(),E1392,0)</f>
        <v>0</v>
      </c>
      <c r="J1392" t="b" s="4">
        <v>1</v>
      </c>
      <c r="K1392" t="b" s="4">
        <v>0</v>
      </c>
    </row>
    <row r="1393" ht="17" customHeight="1">
      <c r="A1393" s="4">
        <v>1104</v>
      </c>
      <c r="B1393" s="5">
        <v>42248</v>
      </c>
      <c r="C1393" t="s" s="3">
        <v>58</v>
      </c>
      <c r="D1393" t="s" s="3">
        <v>730</v>
      </c>
      <c r="E1393" s="6">
        <v>430067</v>
      </c>
      <c r="F1393" s="6">
        <f>E1393*0.19</f>
        <v>81712.73</v>
      </c>
      <c r="G1393" s="6">
        <f>E1393+F1393</f>
        <v>511779.73</v>
      </c>
      <c r="H1393" s="7">
        <f>IF(J1393=TRUE(),E1393,0)</f>
        <v>0</v>
      </c>
      <c r="I1393" s="7">
        <f>IF(K1393=TRUE(),E1393,0)</f>
        <v>0</v>
      </c>
      <c r="J1393" t="b" s="4">
        <v>0</v>
      </c>
      <c r="K1393" t="b" s="4">
        <v>0</v>
      </c>
    </row>
    <row r="1394" ht="17" customHeight="1">
      <c r="A1394" s="4">
        <v>1105</v>
      </c>
      <c r="B1394" s="5">
        <v>42248</v>
      </c>
      <c r="C1394" t="s" s="3">
        <v>26</v>
      </c>
      <c r="D1394" t="s" s="3">
        <v>731</v>
      </c>
      <c r="E1394" s="6">
        <v>65000</v>
      </c>
      <c r="F1394" s="6">
        <f>E1394*0.19</f>
        <v>12350</v>
      </c>
      <c r="G1394" s="6">
        <f>E1394+F1394</f>
        <v>77350</v>
      </c>
      <c r="H1394" s="7">
        <f>IF(J1394=TRUE(),E1394,0)</f>
        <v>0</v>
      </c>
      <c r="I1394" s="7">
        <f>IF(K1394=TRUE(),E1394,0)</f>
        <v>0</v>
      </c>
      <c r="J1394" t="b" s="4">
        <v>0</v>
      </c>
      <c r="K1394" t="b" s="4">
        <v>0</v>
      </c>
    </row>
    <row r="1395" ht="17" customHeight="1">
      <c r="A1395" s="4">
        <v>1106</v>
      </c>
      <c r="B1395" s="5">
        <v>42248</v>
      </c>
      <c r="C1395" t="s" s="3">
        <v>253</v>
      </c>
      <c r="D1395" t="s" s="3">
        <v>78</v>
      </c>
      <c r="E1395" s="6">
        <v>25000</v>
      </c>
      <c r="F1395" s="6">
        <f>E1395*0.19</f>
        <v>4750</v>
      </c>
      <c r="G1395" s="6">
        <f>E1395+F1395</f>
        <v>29750</v>
      </c>
      <c r="H1395" s="7">
        <f>IF(J1395=TRUE(),E1395,0)</f>
        <v>0</v>
      </c>
      <c r="I1395" s="7">
        <f>IF(K1395=TRUE(),E1395,0)</f>
        <v>0</v>
      </c>
      <c r="J1395" t="b" s="4">
        <v>0</v>
      </c>
      <c r="K1395" t="b" s="4">
        <v>0</v>
      </c>
    </row>
    <row r="1396" ht="17" customHeight="1">
      <c r="A1396" s="4">
        <v>1107</v>
      </c>
      <c r="B1396" s="5">
        <v>42248</v>
      </c>
      <c r="C1396" t="s" s="3">
        <v>253</v>
      </c>
      <c r="D1396" t="s" s="3">
        <v>732</v>
      </c>
      <c r="E1396" s="6">
        <v>147800</v>
      </c>
      <c r="F1396" s="6">
        <f>E1396*0.19</f>
        <v>28082</v>
      </c>
      <c r="G1396" s="6">
        <f>E1396+F1396</f>
        <v>175882</v>
      </c>
      <c r="H1396" s="7">
        <f>IF(J1396=TRUE(),E1396,0)</f>
        <v>0</v>
      </c>
      <c r="I1396" s="7">
        <f>IF(K1396=TRUE(),E1396,0)</f>
        <v>0</v>
      </c>
      <c r="J1396" t="b" s="4">
        <v>0</v>
      </c>
      <c r="K1396" t="b" s="4">
        <v>0</v>
      </c>
    </row>
    <row r="1397" ht="17" customHeight="1">
      <c r="A1397" s="4">
        <v>1108</v>
      </c>
      <c r="B1397" s="5">
        <v>42248</v>
      </c>
      <c r="C1397" t="s" s="3">
        <v>298</v>
      </c>
      <c r="D1397" t="s" s="3">
        <v>727</v>
      </c>
      <c r="E1397" s="6">
        <v>150592</v>
      </c>
      <c r="F1397" s="6">
        <f>E1397*0.19</f>
        <v>28612.48</v>
      </c>
      <c r="G1397" s="6">
        <f>E1397+F1397</f>
        <v>179204.48</v>
      </c>
      <c r="H1397" s="7">
        <f>IF(J1397=TRUE(),E1397,0)</f>
        <v>150592</v>
      </c>
      <c r="I1397" s="7">
        <f>IF(K1397=TRUE(),E1397,0)</f>
        <v>0</v>
      </c>
      <c r="J1397" t="b" s="4">
        <v>1</v>
      </c>
      <c r="K1397" t="b" s="4">
        <v>0</v>
      </c>
    </row>
    <row r="1398" ht="17" customHeight="1">
      <c r="A1398" s="4">
        <v>1109</v>
      </c>
      <c r="B1398" s="5">
        <v>42248</v>
      </c>
      <c r="C1398" t="s" s="3">
        <v>610</v>
      </c>
      <c r="D1398" t="s" s="3">
        <v>733</v>
      </c>
      <c r="E1398" s="6">
        <v>168067</v>
      </c>
      <c r="F1398" s="6">
        <f>E1398*0.19</f>
        <v>31932.73</v>
      </c>
      <c r="G1398" s="6">
        <f>E1398+F1398</f>
        <v>199999.73</v>
      </c>
      <c r="H1398" s="7">
        <f>IF(J1398=TRUE(),E1398,0)</f>
        <v>168067</v>
      </c>
      <c r="I1398" s="7">
        <f>IF(K1398=TRUE(),E1398,0)</f>
        <v>0</v>
      </c>
      <c r="J1398" t="b" s="4">
        <v>1</v>
      </c>
      <c r="K1398" t="b" s="4">
        <v>0</v>
      </c>
    </row>
    <row r="1399" ht="17" customHeight="1">
      <c r="A1399" s="4">
        <v>1110</v>
      </c>
      <c r="B1399" s="5">
        <v>42248</v>
      </c>
      <c r="C1399" t="s" s="3">
        <v>176</v>
      </c>
      <c r="D1399" t="s" s="3">
        <v>734</v>
      </c>
      <c r="E1399" s="6">
        <v>110633</v>
      </c>
      <c r="F1399" s="6">
        <f>E1399*0.19</f>
        <v>21020.27</v>
      </c>
      <c r="G1399" s="6">
        <f>E1399+F1399</f>
        <v>131653.27</v>
      </c>
      <c r="H1399" s="7">
        <f>IF(J1399=TRUE(),E1399,0)</f>
        <v>110633</v>
      </c>
      <c r="I1399" s="7">
        <f>IF(K1399=TRUE(),E1399,0)</f>
        <v>0</v>
      </c>
      <c r="J1399" t="b" s="4">
        <v>1</v>
      </c>
      <c r="K1399" t="b" s="4">
        <v>0</v>
      </c>
    </row>
    <row r="1400" ht="17" customHeight="1">
      <c r="A1400" s="4">
        <v>1111</v>
      </c>
      <c r="B1400" s="5">
        <v>42248</v>
      </c>
      <c r="C1400" t="s" s="3">
        <v>176</v>
      </c>
      <c r="D1400" t="s" s="3">
        <v>715</v>
      </c>
      <c r="E1400" s="6">
        <v>83152</v>
      </c>
      <c r="F1400" s="6">
        <f>E1400*0.19</f>
        <v>15798.88</v>
      </c>
      <c r="G1400" s="6">
        <f>E1400+F1400</f>
        <v>98950.88</v>
      </c>
      <c r="H1400" s="7">
        <f>IF(J1400=TRUE(),E1400,0)</f>
        <v>83152</v>
      </c>
      <c r="I1400" s="7">
        <f>IF(K1400=TRUE(),E1400,0)</f>
        <v>0</v>
      </c>
      <c r="J1400" t="b" s="4">
        <v>1</v>
      </c>
      <c r="K1400" t="b" s="4">
        <v>0</v>
      </c>
    </row>
    <row r="1401" ht="17" customHeight="1">
      <c r="A1401" s="4">
        <v>1112</v>
      </c>
      <c r="B1401" s="5">
        <v>42248</v>
      </c>
      <c r="C1401" t="s" s="3">
        <v>183</v>
      </c>
      <c r="D1401" t="s" s="3">
        <v>735</v>
      </c>
      <c r="E1401" s="6">
        <v>219483</v>
      </c>
      <c r="F1401" s="6">
        <f>E1401*0.19</f>
        <v>41701.77</v>
      </c>
      <c r="G1401" s="6">
        <f>E1401+F1401</f>
        <v>261184.77</v>
      </c>
      <c r="H1401" s="7">
        <f>IF(J1401=TRUE(),E1401,0)</f>
        <v>219483</v>
      </c>
      <c r="I1401" s="7">
        <f>IF(K1401=TRUE(),E1401,0)</f>
        <v>0</v>
      </c>
      <c r="J1401" t="b" s="4">
        <v>1</v>
      </c>
      <c r="K1401" t="b" s="4">
        <v>0</v>
      </c>
    </row>
    <row r="1402" ht="17" customHeight="1">
      <c r="A1402" s="4">
        <v>1113</v>
      </c>
      <c r="B1402" s="5">
        <v>42248</v>
      </c>
      <c r="C1402" t="s" s="3">
        <v>230</v>
      </c>
      <c r="D1402" t="s" s="3">
        <v>701</v>
      </c>
      <c r="E1402" s="6">
        <v>250906</v>
      </c>
      <c r="F1402" s="6">
        <f>E1402*0.19</f>
        <v>47672.14</v>
      </c>
      <c r="G1402" s="6">
        <f>E1402+F1402</f>
        <v>298578.14</v>
      </c>
      <c r="H1402" s="7">
        <f>IF(J1402=TRUE(),E1402,0)</f>
        <v>250906</v>
      </c>
      <c r="I1402" s="7">
        <f>IF(K1402=TRUE(),E1402,0)</f>
        <v>0</v>
      </c>
      <c r="J1402" t="b" s="4">
        <v>1</v>
      </c>
      <c r="K1402" t="b" s="4">
        <v>0</v>
      </c>
    </row>
    <row r="1403" ht="17" customHeight="1">
      <c r="A1403" s="4">
        <v>1114</v>
      </c>
      <c r="B1403" s="5">
        <v>42248</v>
      </c>
      <c r="C1403" t="s" s="3">
        <v>66</v>
      </c>
      <c r="D1403" t="s" s="3">
        <v>734</v>
      </c>
      <c r="E1403" s="6">
        <v>245406</v>
      </c>
      <c r="F1403" s="6">
        <f>E1403*0.19</f>
        <v>46627.14</v>
      </c>
      <c r="G1403" s="6">
        <f>E1403+F1403</f>
        <v>292033.14</v>
      </c>
      <c r="H1403" s="7">
        <f>IF(J1403=TRUE(),E1403,0)</f>
        <v>245406</v>
      </c>
      <c r="I1403" s="7">
        <f>IF(K1403=TRUE(),E1403,0)</f>
        <v>0</v>
      </c>
      <c r="J1403" t="b" s="4">
        <v>1</v>
      </c>
      <c r="K1403" t="b" s="4">
        <v>0</v>
      </c>
    </row>
    <row r="1404" ht="17" customHeight="1">
      <c r="A1404" s="4">
        <v>1115</v>
      </c>
      <c r="B1404" s="5">
        <v>42248</v>
      </c>
      <c r="C1404" t="s" s="3">
        <v>98</v>
      </c>
      <c r="D1404" t="s" s="3">
        <v>715</v>
      </c>
      <c r="E1404" s="6">
        <v>245927</v>
      </c>
      <c r="F1404" s="6">
        <f>E1404*0.19</f>
        <v>46726.13</v>
      </c>
      <c r="G1404" s="6">
        <f>E1404+F1404</f>
        <v>292653.13</v>
      </c>
      <c r="H1404" s="7">
        <f>IF(J1404=TRUE(),E1404,0)</f>
        <v>245927</v>
      </c>
      <c r="I1404" s="7">
        <f>IF(K1404=TRUE(),E1404,0)</f>
        <v>0</v>
      </c>
      <c r="J1404" t="b" s="4">
        <v>1</v>
      </c>
      <c r="K1404" t="b" s="4">
        <v>0</v>
      </c>
    </row>
    <row r="1405" ht="17" customHeight="1">
      <c r="A1405" s="4">
        <v>1116</v>
      </c>
      <c r="B1405" s="5">
        <v>42248</v>
      </c>
      <c r="C1405" t="s" s="3">
        <v>98</v>
      </c>
      <c r="D1405" t="s" s="3">
        <v>715</v>
      </c>
      <c r="E1405" s="6">
        <v>20158</v>
      </c>
      <c r="F1405" s="6">
        <f>E1405*0.19</f>
        <v>3830.02</v>
      </c>
      <c r="G1405" s="6">
        <f>E1405+F1405</f>
        <v>23988.02</v>
      </c>
      <c r="H1405" s="7">
        <f>IF(J1405=TRUE(),E1405,0)</f>
        <v>20158</v>
      </c>
      <c r="I1405" s="7">
        <f>IF(K1405=TRUE(),E1405,0)</f>
        <v>0</v>
      </c>
      <c r="J1405" t="b" s="4">
        <v>1</v>
      </c>
      <c r="K1405" t="b" s="4">
        <v>0</v>
      </c>
    </row>
    <row r="1406" ht="17" customHeight="1">
      <c r="A1406" s="4">
        <v>1117</v>
      </c>
      <c r="B1406" s="5">
        <v>42248</v>
      </c>
      <c r="C1406" t="s" s="3">
        <v>98</v>
      </c>
      <c r="D1406" t="s" s="3">
        <v>715</v>
      </c>
      <c r="E1406" s="6">
        <v>83152</v>
      </c>
      <c r="F1406" s="6">
        <f>E1406*0.19</f>
        <v>15798.88</v>
      </c>
      <c r="G1406" s="6">
        <f>E1406+F1406</f>
        <v>98950.88</v>
      </c>
      <c r="H1406" s="7">
        <f>IF(J1406=TRUE(),E1406,0)</f>
        <v>83152</v>
      </c>
      <c r="I1406" s="7">
        <f>IF(K1406=TRUE(),E1406,0)</f>
        <v>0</v>
      </c>
      <c r="J1406" t="b" s="4">
        <v>1</v>
      </c>
      <c r="K1406" t="b" s="4">
        <v>0</v>
      </c>
    </row>
    <row r="1407" ht="17" customHeight="1">
      <c r="A1407" s="4">
        <v>1118</v>
      </c>
      <c r="B1407" s="5">
        <v>42248</v>
      </c>
      <c r="C1407" t="s" s="3">
        <v>420</v>
      </c>
      <c r="D1407" t="s" s="3">
        <v>727</v>
      </c>
      <c r="E1407" s="6">
        <v>200790</v>
      </c>
      <c r="F1407" s="6">
        <f>E1407*0.19</f>
        <v>38150.1</v>
      </c>
      <c r="G1407" s="6">
        <f>E1407+F1407</f>
        <v>238940.1</v>
      </c>
      <c r="H1407" s="7">
        <f>IF(J1407=TRUE(),E1407,0)</f>
        <v>200790</v>
      </c>
      <c r="I1407" s="7">
        <f>IF(K1407=TRUE(),E1407,0)</f>
        <v>0</v>
      </c>
      <c r="J1407" t="b" s="4">
        <v>1</v>
      </c>
      <c r="K1407" t="b" s="4">
        <v>0</v>
      </c>
    </row>
    <row r="1408" ht="17" customHeight="1">
      <c r="A1408" s="4">
        <v>1119</v>
      </c>
      <c r="B1408" s="5">
        <v>42248</v>
      </c>
      <c r="C1408" t="s" s="3">
        <v>532</v>
      </c>
      <c r="D1408" t="s" s="3">
        <v>727</v>
      </c>
      <c r="E1408" s="6">
        <v>552172</v>
      </c>
      <c r="F1408" s="6">
        <f>E1408*0.19</f>
        <v>104912.68</v>
      </c>
      <c r="G1408" s="6">
        <f>E1408+F1408</f>
        <v>657084.6800000001</v>
      </c>
      <c r="H1408" s="7">
        <f>IF(J1408=TRUE(),E1408,0)</f>
        <v>552172</v>
      </c>
      <c r="I1408" s="7">
        <f>IF(K1408=TRUE(),E1408,0)</f>
        <v>0</v>
      </c>
      <c r="J1408" t="b" s="4">
        <v>1</v>
      </c>
      <c r="K1408" t="b" s="4">
        <v>0</v>
      </c>
    </row>
    <row r="1409" ht="17" customHeight="1">
      <c r="A1409" s="4">
        <v>1120</v>
      </c>
      <c r="B1409" s="5">
        <v>42248</v>
      </c>
      <c r="C1409" t="s" s="3">
        <v>298</v>
      </c>
      <c r="D1409" t="s" s="3">
        <v>727</v>
      </c>
      <c r="E1409" s="6">
        <v>150592</v>
      </c>
      <c r="F1409" s="6">
        <f>E1409*0.19</f>
        <v>28612.48</v>
      </c>
      <c r="G1409" s="6">
        <f>E1409+F1409</f>
        <v>179204.48</v>
      </c>
      <c r="H1409" s="7">
        <f>IF(J1409=TRUE(),E1409,0)</f>
        <v>150592</v>
      </c>
      <c r="I1409" s="7">
        <f>IF(K1409=TRUE(),E1409,0)</f>
        <v>0</v>
      </c>
      <c r="J1409" t="b" s="4">
        <v>1</v>
      </c>
      <c r="K1409" t="b" s="4">
        <v>0</v>
      </c>
    </row>
    <row r="1410" ht="17" customHeight="1">
      <c r="A1410" s="4">
        <v>1121</v>
      </c>
      <c r="B1410" s="5">
        <v>42248</v>
      </c>
      <c r="C1410" t="s" s="3">
        <v>318</v>
      </c>
      <c r="D1410" t="s" s="3">
        <v>727</v>
      </c>
      <c r="E1410" s="6">
        <v>210000</v>
      </c>
      <c r="F1410" s="6">
        <f>E1410*0.19</f>
        <v>39900</v>
      </c>
      <c r="G1410" s="6">
        <f>E1410+F1410</f>
        <v>249900</v>
      </c>
      <c r="H1410" s="7">
        <f>IF(J1410=TRUE(),E1410,0)</f>
        <v>0</v>
      </c>
      <c r="I1410" s="7">
        <f>IF(K1410=TRUE(),E1410,0)</f>
        <v>0</v>
      </c>
      <c r="J1410" t="b" s="4">
        <v>0</v>
      </c>
      <c r="K1410" t="b" s="4">
        <v>0</v>
      </c>
    </row>
    <row r="1411" ht="17" customHeight="1">
      <c r="A1411" s="4">
        <v>1122</v>
      </c>
      <c r="B1411" s="5"/>
      <c r="C1411" s="8"/>
      <c r="D1411" s="3"/>
      <c r="E1411" s="6"/>
      <c r="F1411" s="6">
        <f>E1411*0.19</f>
        <v>0</v>
      </c>
      <c r="G1411" s="6">
        <f>E1411+F1411</f>
        <v>0</v>
      </c>
      <c r="H1411" s="7">
        <f>IF(J1411=TRUE(),E1411,0)</f>
        <v>0</v>
      </c>
      <c r="I1411" s="7">
        <f>IF(K1411=TRUE(),E1411,0)</f>
        <v>0</v>
      </c>
      <c r="J1411" t="b" s="4">
        <v>0</v>
      </c>
      <c r="K1411" t="b" s="4">
        <v>0</v>
      </c>
    </row>
    <row r="1412" ht="17" customHeight="1">
      <c r="A1412" s="4">
        <v>1123</v>
      </c>
      <c r="B1412" s="5">
        <v>42248</v>
      </c>
      <c r="C1412" s="8"/>
      <c r="D1412" s="3"/>
      <c r="E1412" s="6"/>
      <c r="F1412" s="6">
        <f>E1412*0.19</f>
        <v>0</v>
      </c>
      <c r="G1412" s="6">
        <f>E1412+F1412</f>
        <v>0</v>
      </c>
      <c r="H1412" s="7">
        <f>IF(J1412=TRUE(),E1412,0)</f>
        <v>0</v>
      </c>
      <c r="I1412" s="7">
        <f>IF(K1412=TRUE(),E1412,0)</f>
        <v>0</v>
      </c>
      <c r="J1412" t="b" s="4">
        <v>0</v>
      </c>
      <c r="K1412" t="b" s="4">
        <v>0</v>
      </c>
    </row>
    <row r="1413" ht="17" customHeight="1">
      <c r="A1413" s="4">
        <v>1124</v>
      </c>
      <c r="B1413" s="5">
        <v>42248</v>
      </c>
      <c r="C1413" s="8"/>
      <c r="D1413" s="3"/>
      <c r="E1413" s="6"/>
      <c r="F1413" s="6">
        <f>E1413*0.19</f>
        <v>0</v>
      </c>
      <c r="G1413" s="6">
        <f>E1413+F1413</f>
        <v>0</v>
      </c>
      <c r="H1413" s="7">
        <f>IF(J1413=TRUE(),E1413,0)</f>
        <v>0</v>
      </c>
      <c r="I1413" s="7">
        <f>IF(K1413=TRUE(),E1413,0)</f>
        <v>0</v>
      </c>
      <c r="J1413" t="b" s="4">
        <v>0</v>
      </c>
      <c r="K1413" t="b" s="4">
        <v>0</v>
      </c>
    </row>
    <row r="1414" ht="17" customHeight="1">
      <c r="A1414" s="4">
        <v>1125</v>
      </c>
      <c r="B1414" s="5">
        <v>42248</v>
      </c>
      <c r="C1414" s="8"/>
      <c r="D1414" s="3"/>
      <c r="E1414" s="6"/>
      <c r="F1414" s="6">
        <f>E1414*0.19</f>
        <v>0</v>
      </c>
      <c r="G1414" s="6">
        <f>E1414+F1414</f>
        <v>0</v>
      </c>
      <c r="H1414" s="7">
        <f>IF(J1414=TRUE(),E1414,0)</f>
        <v>0</v>
      </c>
      <c r="I1414" s="7">
        <f>IF(K1414=TRUE(),E1414,0)</f>
        <v>0</v>
      </c>
      <c r="J1414" t="b" s="4">
        <v>0</v>
      </c>
      <c r="K1414" t="b" s="4">
        <v>0</v>
      </c>
    </row>
    <row r="1415" ht="17" customHeight="1">
      <c r="A1415" s="4">
        <v>1126</v>
      </c>
      <c r="B1415" s="5">
        <v>42248</v>
      </c>
      <c r="C1415" s="8"/>
      <c r="D1415" s="3"/>
      <c r="E1415" s="6"/>
      <c r="F1415" s="6">
        <f>E1415*0.19</f>
        <v>0</v>
      </c>
      <c r="G1415" s="6">
        <f>E1415+F1415</f>
        <v>0</v>
      </c>
      <c r="H1415" s="7">
        <f>IF(J1415=TRUE(),E1415,0)</f>
        <v>0</v>
      </c>
      <c r="I1415" s="7">
        <f>IF(K1415=TRUE(),E1415,0)</f>
        <v>0</v>
      </c>
      <c r="J1415" t="b" s="4">
        <v>0</v>
      </c>
      <c r="K1415" t="b" s="4">
        <v>0</v>
      </c>
    </row>
    <row r="1416" ht="17" customHeight="1">
      <c r="A1416" s="4">
        <v>1127</v>
      </c>
      <c r="B1416" s="5">
        <v>42248</v>
      </c>
      <c r="C1416" s="8"/>
      <c r="D1416" s="3"/>
      <c r="E1416" s="6"/>
      <c r="F1416" s="6">
        <f>E1416*0.19</f>
        <v>0</v>
      </c>
      <c r="G1416" s="6">
        <f>E1416+F1416</f>
        <v>0</v>
      </c>
      <c r="H1416" s="7">
        <f>IF(J1416=TRUE(),E1416,0)</f>
        <v>0</v>
      </c>
      <c r="I1416" s="7">
        <f>IF(K1416=TRUE(),E1416,0)</f>
        <v>0</v>
      </c>
      <c r="J1416" t="b" s="4">
        <v>0</v>
      </c>
      <c r="K1416" t="b" s="4">
        <v>0</v>
      </c>
    </row>
    <row r="1417" ht="17" customHeight="1">
      <c r="A1417" s="4">
        <v>1128</v>
      </c>
      <c r="B1417" s="5">
        <v>42248</v>
      </c>
      <c r="C1417" s="8"/>
      <c r="D1417" s="3"/>
      <c r="E1417" s="6"/>
      <c r="F1417" s="6">
        <f>E1417*0.19</f>
        <v>0</v>
      </c>
      <c r="G1417" s="6">
        <f>E1417+F1417</f>
        <v>0</v>
      </c>
      <c r="H1417" s="7">
        <f>IF(J1417=TRUE(),E1417,0)</f>
        <v>0</v>
      </c>
      <c r="I1417" s="7">
        <f>IF(K1417=TRUE(),E1417,0)</f>
        <v>0</v>
      </c>
      <c r="J1417" t="b" s="4">
        <v>0</v>
      </c>
      <c r="K1417" t="b" s="4">
        <v>0</v>
      </c>
    </row>
    <row r="1418" ht="17" customHeight="1">
      <c r="A1418" s="4">
        <v>1129</v>
      </c>
      <c r="B1418" s="5">
        <v>42248</v>
      </c>
      <c r="C1418" s="8"/>
      <c r="D1418" s="3"/>
      <c r="E1418" s="6"/>
      <c r="F1418" s="6">
        <f>E1418*0.19</f>
        <v>0</v>
      </c>
      <c r="G1418" s="6">
        <f>E1418+F1418</f>
        <v>0</v>
      </c>
      <c r="H1418" s="7">
        <f>IF(J1418=TRUE(),E1418,0)</f>
        <v>0</v>
      </c>
      <c r="I1418" s="7">
        <f>IF(K1418=TRUE(),E1418,0)</f>
        <v>0</v>
      </c>
      <c r="J1418" t="b" s="4">
        <v>0</v>
      </c>
      <c r="K1418" t="b" s="4">
        <v>0</v>
      </c>
    </row>
    <row r="1419" ht="17" customHeight="1">
      <c r="A1419" s="4">
        <v>1130</v>
      </c>
      <c r="B1419" s="5">
        <v>42248</v>
      </c>
      <c r="C1419" s="8"/>
      <c r="D1419" s="3"/>
      <c r="E1419" s="6"/>
      <c r="F1419" s="6">
        <f>E1419*0.19</f>
        <v>0</v>
      </c>
      <c r="G1419" s="6">
        <f>E1419+F1419</f>
        <v>0</v>
      </c>
      <c r="H1419" s="7">
        <f>IF(J1419=TRUE(),E1419,0)</f>
        <v>0</v>
      </c>
      <c r="I1419" s="7">
        <f>IF(K1419=TRUE(),E1419,0)</f>
        <v>0</v>
      </c>
      <c r="J1419" t="b" s="4">
        <v>0</v>
      </c>
      <c r="K1419" t="b" s="4">
        <v>0</v>
      </c>
    </row>
    <row r="1420" ht="17" customHeight="1">
      <c r="A1420" s="4">
        <v>1131</v>
      </c>
      <c r="B1420" s="5">
        <v>42248</v>
      </c>
      <c r="C1420" s="8"/>
      <c r="D1420" s="3"/>
      <c r="E1420" s="6"/>
      <c r="F1420" s="6">
        <f>E1420*0.19</f>
        <v>0</v>
      </c>
      <c r="G1420" s="6">
        <f>E1420+F1420</f>
        <v>0</v>
      </c>
      <c r="H1420" s="7">
        <f>IF(J1420=TRUE(),E1420,0)</f>
        <v>0</v>
      </c>
      <c r="I1420" s="7">
        <f>IF(K1420=TRUE(),E1420,0)</f>
        <v>0</v>
      </c>
      <c r="J1420" t="b" s="4">
        <v>0</v>
      </c>
      <c r="K1420" t="b" s="4">
        <v>0</v>
      </c>
    </row>
    <row r="1421" ht="17" customHeight="1">
      <c r="A1421" s="4">
        <v>1132</v>
      </c>
      <c r="B1421" s="5">
        <v>42248</v>
      </c>
      <c r="C1421" s="8"/>
      <c r="D1421" s="3"/>
      <c r="E1421" s="6"/>
      <c r="F1421" s="6">
        <f>E1421*0.19</f>
        <v>0</v>
      </c>
      <c r="G1421" s="6">
        <f>E1421+F1421</f>
        <v>0</v>
      </c>
      <c r="H1421" s="7">
        <f>IF(J1421=TRUE(),E1421,0)</f>
        <v>0</v>
      </c>
      <c r="I1421" s="7">
        <f>IF(K1421=TRUE(),E1421,0)</f>
        <v>0</v>
      </c>
      <c r="J1421" t="b" s="4">
        <v>0</v>
      </c>
      <c r="K1421" t="b" s="4">
        <v>0</v>
      </c>
    </row>
    <row r="1422" ht="17" customHeight="1">
      <c r="A1422" s="4">
        <v>1133</v>
      </c>
      <c r="B1422" s="5">
        <v>42248</v>
      </c>
      <c r="C1422" s="8"/>
      <c r="D1422" s="3"/>
      <c r="E1422" s="6"/>
      <c r="F1422" s="6">
        <f>E1422*0.19</f>
        <v>0</v>
      </c>
      <c r="G1422" s="6">
        <f>E1422+F1422</f>
        <v>0</v>
      </c>
      <c r="H1422" s="7">
        <f>IF(J1422=TRUE(),E1422,0)</f>
        <v>0</v>
      </c>
      <c r="I1422" s="7">
        <f>IF(K1422=TRUE(),E1422,0)</f>
        <v>0</v>
      </c>
      <c r="J1422" t="b" s="4">
        <v>0</v>
      </c>
      <c r="K1422" t="b" s="4">
        <v>0</v>
      </c>
    </row>
    <row r="1423" ht="17" customHeight="1">
      <c r="A1423" s="4">
        <v>1134</v>
      </c>
      <c r="B1423" s="5">
        <v>42248</v>
      </c>
      <c r="C1423" s="8"/>
      <c r="D1423" s="3"/>
      <c r="E1423" s="6"/>
      <c r="F1423" s="6">
        <f>E1423*0.19</f>
        <v>0</v>
      </c>
      <c r="G1423" s="6">
        <f>E1423+F1423</f>
        <v>0</v>
      </c>
      <c r="H1423" s="7">
        <f>IF(J1423=TRUE(),E1423,0)</f>
        <v>0</v>
      </c>
      <c r="I1423" s="7">
        <f>IF(K1423=TRUE(),E1423,0)</f>
        <v>0</v>
      </c>
      <c r="J1423" t="b" s="4">
        <v>0</v>
      </c>
      <c r="K1423" t="b" s="4">
        <v>0</v>
      </c>
    </row>
    <row r="1424" ht="17" customHeight="1">
      <c r="A1424" s="4">
        <v>1135</v>
      </c>
      <c r="B1424" s="5">
        <v>42248</v>
      </c>
      <c r="C1424" s="8"/>
      <c r="D1424" s="3"/>
      <c r="E1424" s="6"/>
      <c r="F1424" s="6">
        <f>E1424*0.19</f>
        <v>0</v>
      </c>
      <c r="G1424" s="6">
        <f>E1424+F1424</f>
        <v>0</v>
      </c>
      <c r="H1424" s="7">
        <f>IF(J1424=TRUE(),E1424,0)</f>
        <v>0</v>
      </c>
      <c r="I1424" s="7">
        <f>IF(K1424=TRUE(),E1424,0)</f>
        <v>0</v>
      </c>
      <c r="J1424" t="b" s="4">
        <v>0</v>
      </c>
      <c r="K1424" t="b" s="4">
        <v>0</v>
      </c>
    </row>
    <row r="1425" ht="17" customHeight="1">
      <c r="A1425" s="4">
        <v>1136</v>
      </c>
      <c r="B1425" s="5">
        <v>42276</v>
      </c>
      <c r="C1425" t="s" s="3">
        <v>183</v>
      </c>
      <c r="D1425" t="s" s="3">
        <v>736</v>
      </c>
      <c r="E1425" s="6">
        <v>2864000</v>
      </c>
      <c r="F1425" s="6">
        <f>E1425*0.19</f>
        <v>544160</v>
      </c>
      <c r="G1425" s="6">
        <f>E1425+F1425</f>
        <v>3408160</v>
      </c>
      <c r="H1425" s="7">
        <f>IF(J1425=TRUE(),E1425,0)</f>
        <v>0</v>
      </c>
      <c r="I1425" s="7">
        <f>IF(K1425=TRUE(),E1425,0)</f>
        <v>0</v>
      </c>
      <c r="J1425" t="b" s="4">
        <v>0</v>
      </c>
      <c r="K1425" t="b" s="4">
        <v>0</v>
      </c>
    </row>
    <row r="1426" ht="17" customHeight="1">
      <c r="A1426" s="4">
        <v>1137</v>
      </c>
      <c r="B1426" s="5">
        <v>42277</v>
      </c>
      <c r="C1426" t="s" s="3">
        <v>49</v>
      </c>
      <c r="D1426" t="s" s="3">
        <v>727</v>
      </c>
      <c r="E1426" s="6">
        <v>395411</v>
      </c>
      <c r="F1426" s="6">
        <f>E1426*0.19</f>
        <v>75128.09</v>
      </c>
      <c r="G1426" s="6">
        <f>E1426+F1426</f>
        <v>470539.09</v>
      </c>
      <c r="H1426" s="7">
        <f>IF(J1426=TRUE(),E1426,0)</f>
        <v>0</v>
      </c>
      <c r="I1426" s="7">
        <f>IF(K1426=TRUE(),E1426,0)</f>
        <v>0</v>
      </c>
      <c r="J1426" t="b" s="4">
        <v>0</v>
      </c>
      <c r="K1426" t="b" s="4">
        <v>0</v>
      </c>
    </row>
    <row r="1427" ht="17" customHeight="1">
      <c r="A1427" s="4">
        <v>1138</v>
      </c>
      <c r="B1427" s="5">
        <v>42248</v>
      </c>
      <c r="C1427" s="8"/>
      <c r="D1427" s="3"/>
      <c r="E1427" s="6"/>
      <c r="F1427" s="6">
        <f>E1427*0.19</f>
        <v>0</v>
      </c>
      <c r="G1427" s="6">
        <f>E1427+F1427</f>
        <v>0</v>
      </c>
      <c r="H1427" s="7">
        <f>IF(J1427=TRUE(),E1427,0)</f>
        <v>0</v>
      </c>
      <c r="I1427" s="7">
        <f>IF(K1427=TRUE(),E1427,0)</f>
        <v>0</v>
      </c>
      <c r="J1427" t="b" s="4">
        <v>0</v>
      </c>
      <c r="K1427" t="b" s="4">
        <v>0</v>
      </c>
    </row>
    <row r="1428" ht="17" customHeight="1">
      <c r="A1428" s="4">
        <v>1139</v>
      </c>
      <c r="B1428" s="5">
        <v>42248</v>
      </c>
      <c r="C1428" s="8"/>
      <c r="D1428" s="3"/>
      <c r="E1428" s="6"/>
      <c r="F1428" s="6">
        <f>E1428*0.19</f>
        <v>0</v>
      </c>
      <c r="G1428" s="6">
        <f>E1428+F1428</f>
        <v>0</v>
      </c>
      <c r="H1428" s="7">
        <f>IF(J1428=TRUE(),E1428,0)</f>
        <v>0</v>
      </c>
      <c r="I1428" s="7">
        <f>IF(K1428=TRUE(),E1428,0)</f>
        <v>0</v>
      </c>
      <c r="J1428" t="b" s="4">
        <v>0</v>
      </c>
      <c r="K1428" t="b" s="4">
        <v>0</v>
      </c>
    </row>
    <row r="1429" ht="17" customHeight="1">
      <c r="A1429" s="4">
        <v>1140</v>
      </c>
      <c r="B1429" s="5">
        <v>42248</v>
      </c>
      <c r="C1429" s="8"/>
      <c r="D1429" s="3"/>
      <c r="E1429" s="6"/>
      <c r="F1429" s="6">
        <f>E1429*0.19</f>
        <v>0</v>
      </c>
      <c r="G1429" s="6">
        <f>E1429+F1429</f>
        <v>0</v>
      </c>
      <c r="H1429" s="7">
        <f>IF(J1429=TRUE(),E1429,0)</f>
        <v>0</v>
      </c>
      <c r="I1429" s="7">
        <f>IF(K1429=TRUE(),E1429,0)</f>
        <v>0</v>
      </c>
      <c r="J1429" t="b" s="4">
        <v>0</v>
      </c>
      <c r="K1429" t="b" s="4">
        <v>0</v>
      </c>
    </row>
    <row r="1430" ht="17" customHeight="1">
      <c r="A1430" s="4">
        <v>1141</v>
      </c>
      <c r="B1430" s="5">
        <v>42248</v>
      </c>
      <c r="C1430" s="8"/>
      <c r="D1430" s="3"/>
      <c r="E1430" s="6"/>
      <c r="F1430" s="6">
        <f>E1430*0.19</f>
        <v>0</v>
      </c>
      <c r="G1430" s="6">
        <f>E1430+F1430</f>
        <v>0</v>
      </c>
      <c r="H1430" s="7">
        <f>IF(J1430=TRUE(),E1430,0)</f>
        <v>0</v>
      </c>
      <c r="I1430" s="7">
        <f>IF(K1430=TRUE(),E1430,0)</f>
        <v>0</v>
      </c>
      <c r="J1430" t="b" s="4">
        <v>0</v>
      </c>
      <c r="K1430" t="b" s="4">
        <v>0</v>
      </c>
    </row>
    <row r="1431" ht="17" customHeight="1">
      <c r="A1431" s="4">
        <v>1142</v>
      </c>
      <c r="B1431" s="5">
        <v>42248</v>
      </c>
      <c r="C1431" s="8"/>
      <c r="D1431" s="3"/>
      <c r="E1431" s="6"/>
      <c r="F1431" s="6">
        <f>E1431*0.19</f>
        <v>0</v>
      </c>
      <c r="G1431" s="6">
        <f>E1431+F1431</f>
        <v>0</v>
      </c>
      <c r="H1431" s="7">
        <f>IF(J1431=TRUE(),E1431,0)</f>
        <v>0</v>
      </c>
      <c r="I1431" s="7">
        <f>IF(K1431=TRUE(),E1431,0)</f>
        <v>0</v>
      </c>
      <c r="J1431" t="b" s="4">
        <v>0</v>
      </c>
      <c r="K1431" t="b" s="4">
        <v>0</v>
      </c>
    </row>
    <row r="1432" ht="17" customHeight="1">
      <c r="A1432" s="4">
        <v>1143</v>
      </c>
      <c r="B1432" s="5">
        <v>42248</v>
      </c>
      <c r="C1432" s="8"/>
      <c r="D1432" s="3"/>
      <c r="E1432" s="6"/>
      <c r="F1432" s="6">
        <f>E1432*0.19</f>
        <v>0</v>
      </c>
      <c r="G1432" s="6">
        <f>E1432+F1432</f>
        <v>0</v>
      </c>
      <c r="H1432" s="7">
        <f>IF(J1432=TRUE(),E1432,0)</f>
        <v>0</v>
      </c>
      <c r="I1432" s="7">
        <f>IF(K1432=TRUE(),E1432,0)</f>
        <v>0</v>
      </c>
      <c r="J1432" t="b" s="4">
        <v>0</v>
      </c>
      <c r="K1432" t="b" s="4">
        <v>0</v>
      </c>
    </row>
    <row r="1433" ht="17" customHeight="1">
      <c r="A1433" s="4">
        <v>1144</v>
      </c>
      <c r="B1433" s="5">
        <v>42248</v>
      </c>
      <c r="C1433" s="8"/>
      <c r="D1433" s="3"/>
      <c r="E1433" s="6"/>
      <c r="F1433" s="6">
        <f>E1433*0.19</f>
        <v>0</v>
      </c>
      <c r="G1433" s="6">
        <f>E1433+F1433</f>
        <v>0</v>
      </c>
      <c r="H1433" s="7">
        <f>IF(J1433=TRUE(),E1433,0)</f>
        <v>0</v>
      </c>
      <c r="I1433" s="7">
        <f>IF(K1433=TRUE(),E1433,0)</f>
        <v>0</v>
      </c>
      <c r="J1433" t="b" s="4">
        <v>0</v>
      </c>
      <c r="K1433" t="b" s="4">
        <v>0</v>
      </c>
    </row>
    <row r="1434" ht="17" customHeight="1">
      <c r="A1434" s="4">
        <v>1145</v>
      </c>
      <c r="B1434" s="5">
        <v>42248</v>
      </c>
      <c r="C1434" s="8"/>
      <c r="D1434" s="3"/>
      <c r="E1434" s="6"/>
      <c r="F1434" s="6">
        <f>E1434*0.19</f>
        <v>0</v>
      </c>
      <c r="G1434" s="6">
        <f>E1434+F1434</f>
        <v>0</v>
      </c>
      <c r="H1434" s="7">
        <f>IF(J1434=TRUE(),E1434,0)</f>
        <v>0</v>
      </c>
      <c r="I1434" s="7">
        <f>IF(K1434=TRUE(),E1434,0)</f>
        <v>0</v>
      </c>
      <c r="J1434" t="b" s="4">
        <v>0</v>
      </c>
      <c r="K1434" t="b" s="4">
        <v>0</v>
      </c>
    </row>
    <row r="1435" ht="17" customHeight="1">
      <c r="A1435" s="4">
        <v>1146</v>
      </c>
      <c r="B1435" s="5">
        <v>42248</v>
      </c>
      <c r="C1435" s="8"/>
      <c r="D1435" s="3"/>
      <c r="E1435" s="6"/>
      <c r="F1435" s="6">
        <f>E1435*0.19</f>
        <v>0</v>
      </c>
      <c r="G1435" s="6">
        <f>E1435+F1435</f>
        <v>0</v>
      </c>
      <c r="H1435" s="7">
        <f>IF(J1435=TRUE(),E1435,0)</f>
        <v>0</v>
      </c>
      <c r="I1435" s="7">
        <f>IF(K1435=TRUE(),E1435,0)</f>
        <v>0</v>
      </c>
      <c r="J1435" t="b" s="4">
        <v>0</v>
      </c>
      <c r="K1435" t="b" s="4">
        <v>0</v>
      </c>
    </row>
    <row r="1436" ht="17" customHeight="1">
      <c r="A1436" s="4">
        <v>1147</v>
      </c>
      <c r="B1436" s="5">
        <v>42248</v>
      </c>
      <c r="C1436" s="8"/>
      <c r="D1436" s="3"/>
      <c r="E1436" s="6"/>
      <c r="F1436" s="6">
        <f>E1436*0.19</f>
        <v>0</v>
      </c>
      <c r="G1436" s="6">
        <f>E1436+F1436</f>
        <v>0</v>
      </c>
      <c r="H1436" s="7">
        <f>IF(J1436=TRUE(),E1436,0)</f>
        <v>0</v>
      </c>
      <c r="I1436" s="7">
        <f>IF(K1436=TRUE(),E1436,0)</f>
        <v>0</v>
      </c>
      <c r="J1436" t="b" s="4">
        <v>0</v>
      </c>
      <c r="K1436" t="b" s="4">
        <v>0</v>
      </c>
    </row>
    <row r="1437" ht="17.5" customHeight="1">
      <c r="A1437" s="9">
        <v>1148</v>
      </c>
      <c r="B1437" s="5">
        <v>42248</v>
      </c>
      <c r="C1437" s="27"/>
      <c r="D1437" s="10"/>
      <c r="E1437" s="11"/>
      <c r="F1437" s="11">
        <f>E1437*0.19</f>
        <v>0</v>
      </c>
      <c r="G1437" s="11">
        <f>E1437+F1437</f>
        <v>0</v>
      </c>
      <c r="H1437" s="12">
        <f>IF(J1437=TRUE(),E1437,0)</f>
        <v>0</v>
      </c>
      <c r="I1437" s="12">
        <f>IF(K1437=TRUE(),E1437,0)</f>
        <v>0</v>
      </c>
      <c r="J1437" t="b" s="9">
        <v>0</v>
      </c>
      <c r="K1437" t="b" s="9">
        <v>0</v>
      </c>
    </row>
    <row r="1438" ht="18" customHeight="1">
      <c r="A1438" s="13">
        <f>COUNT(A1370:A1437)</f>
        <v>68</v>
      </c>
      <c r="B1438" t="s" s="3">
        <v>737</v>
      </c>
      <c r="C1438" t="s" s="14">
        <v>7</v>
      </c>
      <c r="D1438" s="14"/>
      <c r="E1438" s="15">
        <f>SUM(E1370:E1437)</f>
        <v>21473389</v>
      </c>
      <c r="F1438" s="15">
        <f>SUM(F1370:F1437)</f>
        <v>4079943.91</v>
      </c>
      <c r="G1438" s="16">
        <f>SUM(G1370:G1437)</f>
        <v>25553332.91</v>
      </c>
      <c r="H1438" s="17">
        <f>SUM(H1370:H1437)</f>
        <v>11548566</v>
      </c>
      <c r="I1438" s="17"/>
      <c r="J1438" s="18">
        <f>COUNTIF(J1370:J1437,TRUE())</f>
        <v>29</v>
      </c>
      <c r="K1438" s="19"/>
    </row>
    <row r="1439" ht="17.5" customHeight="1">
      <c r="A1439" s="20"/>
      <c r="B1439" s="3"/>
      <c r="C1439" s="20"/>
      <c r="D1439" s="21"/>
      <c r="E1439" s="24"/>
      <c r="F1439" s="24"/>
      <c r="G1439" s="24"/>
      <c r="H1439" s="22"/>
      <c r="I1439" s="22"/>
      <c r="J1439" s="20"/>
      <c r="K1439" s="20"/>
    </row>
    <row r="1440" ht="17.5" customHeight="1">
      <c r="A1440" t="s" s="10">
        <v>1</v>
      </c>
      <c r="B1440" t="s" s="3">
        <v>2</v>
      </c>
      <c r="C1440" t="s" s="10">
        <v>3</v>
      </c>
      <c r="D1440" t="s" s="10">
        <v>4</v>
      </c>
      <c r="E1440" t="s" s="10">
        <v>5</v>
      </c>
      <c r="F1440" t="s" s="10">
        <v>6</v>
      </c>
      <c r="G1440" t="s" s="10">
        <v>7</v>
      </c>
      <c r="H1440" s="12"/>
      <c r="I1440" s="12"/>
      <c r="J1440" s="27"/>
      <c r="K1440" s="27"/>
    </row>
    <row r="1441" ht="18" customHeight="1">
      <c r="A1441" s="29"/>
      <c r="B1441" t="s" s="3">
        <v>738</v>
      </c>
      <c r="C1441" t="s" s="14">
        <v>7</v>
      </c>
      <c r="D1441" s="14"/>
      <c r="E1441" s="15"/>
      <c r="F1441" s="15"/>
      <c r="G1441" s="16"/>
      <c r="H1441" s="17"/>
      <c r="I1441" s="17"/>
      <c r="J1441" s="19"/>
      <c r="K1441" s="19"/>
    </row>
    <row r="1442" ht="17.5" customHeight="1">
      <c r="A1442" s="20"/>
      <c r="B1442" s="3"/>
      <c r="C1442" s="20"/>
      <c r="D1442" s="21"/>
      <c r="E1442" s="24"/>
      <c r="F1442" s="24"/>
      <c r="G1442" s="24"/>
      <c r="H1442" s="22"/>
      <c r="I1442" s="22"/>
      <c r="J1442" s="20"/>
      <c r="K1442" s="20"/>
    </row>
    <row r="1443" ht="17" customHeight="1">
      <c r="A1443" s="4">
        <v>1149</v>
      </c>
      <c r="B1443" s="5">
        <v>42309</v>
      </c>
      <c r="C1443" t="s" s="3">
        <v>10</v>
      </c>
      <c r="D1443" t="s" s="3">
        <v>229</v>
      </c>
      <c r="E1443" s="6">
        <v>665201</v>
      </c>
      <c r="F1443" s="6">
        <f>E1443*0.19</f>
        <v>126388.19</v>
      </c>
      <c r="G1443" s="6">
        <f>E1443+F1443</f>
        <v>791589.1899999999</v>
      </c>
      <c r="H1443" s="7">
        <f>IF(J1443=TRUE(),E1443,0)</f>
        <v>0</v>
      </c>
      <c r="I1443" s="7">
        <f>IF(K1443=TRUE(),E1443,0)</f>
        <v>0</v>
      </c>
      <c r="J1443" t="b" s="4">
        <v>0</v>
      </c>
      <c r="K1443" t="b" s="4">
        <v>0</v>
      </c>
    </row>
    <row r="1444" ht="17" customHeight="1">
      <c r="A1444" s="4">
        <v>1150</v>
      </c>
      <c r="B1444" s="5">
        <v>42309</v>
      </c>
      <c r="C1444" t="s" s="3">
        <v>357</v>
      </c>
      <c r="D1444" t="s" s="3">
        <v>739</v>
      </c>
      <c r="E1444" s="6">
        <v>332121</v>
      </c>
      <c r="F1444" s="6">
        <f>E1444*0.19</f>
        <v>63102.99</v>
      </c>
      <c r="G1444" s="6">
        <f>E1444+F1444</f>
        <v>395223.99</v>
      </c>
      <c r="H1444" s="7">
        <f>IF(J1444=TRUE(),E1444,0)</f>
        <v>332121</v>
      </c>
      <c r="I1444" s="7">
        <f>IF(K1444=TRUE(),E1444,0)</f>
        <v>0</v>
      </c>
      <c r="J1444" t="b" s="4">
        <v>1</v>
      </c>
      <c r="K1444" t="b" s="4">
        <v>0</v>
      </c>
    </row>
    <row r="1445" ht="17" customHeight="1">
      <c r="A1445" s="4">
        <v>1151</v>
      </c>
      <c r="B1445" s="5">
        <v>42309</v>
      </c>
      <c r="C1445" t="s" s="3">
        <v>357</v>
      </c>
      <c r="D1445" t="s" s="3">
        <v>739</v>
      </c>
      <c r="E1445" s="6">
        <v>333973</v>
      </c>
      <c r="F1445" s="6">
        <f>E1445*0.19</f>
        <v>63454.87</v>
      </c>
      <c r="G1445" s="6">
        <f>E1445+F1445</f>
        <v>397427.87</v>
      </c>
      <c r="H1445" s="7">
        <f>IF(J1445=TRUE(),E1445,0)</f>
        <v>333973</v>
      </c>
      <c r="I1445" s="7">
        <f>IF(K1445=TRUE(),E1445,0)</f>
        <v>0</v>
      </c>
      <c r="J1445" t="b" s="4">
        <v>1</v>
      </c>
      <c r="K1445" t="b" s="4">
        <v>0</v>
      </c>
    </row>
    <row r="1446" ht="17" customHeight="1">
      <c r="A1446" s="4">
        <v>1152</v>
      </c>
      <c r="B1446" s="5">
        <v>42309</v>
      </c>
      <c r="C1446" t="s" s="3">
        <v>420</v>
      </c>
      <c r="D1446" t="s" s="3">
        <v>727</v>
      </c>
      <c r="E1446" s="6">
        <v>288000</v>
      </c>
      <c r="F1446" s="6">
        <f>E1446*0.19</f>
        <v>54720</v>
      </c>
      <c r="G1446" s="6">
        <f>E1446+F1446</f>
        <v>342720</v>
      </c>
      <c r="H1446" s="7">
        <f>IF(J1446=TRUE(),E1446,0)</f>
        <v>288000</v>
      </c>
      <c r="I1446" s="7">
        <f>IF(K1446=TRUE(),E1446,0)</f>
        <v>0</v>
      </c>
      <c r="J1446" t="b" s="4">
        <v>1</v>
      </c>
      <c r="K1446" t="b" s="4">
        <v>0</v>
      </c>
    </row>
    <row r="1447" ht="17" customHeight="1">
      <c r="A1447" s="4">
        <v>1153</v>
      </c>
      <c r="B1447" s="5">
        <v>42309</v>
      </c>
      <c r="C1447" t="s" s="3">
        <v>532</v>
      </c>
      <c r="D1447" t="s" s="3">
        <v>727</v>
      </c>
      <c r="E1447" s="6">
        <v>768000</v>
      </c>
      <c r="F1447" s="6">
        <f>E1447*0.19</f>
        <v>145920</v>
      </c>
      <c r="G1447" s="6">
        <f>E1447+F1447</f>
        <v>913920</v>
      </c>
      <c r="H1447" s="7">
        <f>IF(J1447=TRUE(),E1447,0)</f>
        <v>768000</v>
      </c>
      <c r="I1447" s="7">
        <f>IF(K1447=TRUE(),E1447,0)</f>
        <v>0</v>
      </c>
      <c r="J1447" t="b" s="4">
        <v>1</v>
      </c>
      <c r="K1447" t="b" s="4">
        <v>0</v>
      </c>
    </row>
    <row r="1448" ht="17" customHeight="1">
      <c r="A1448" s="4">
        <v>1154</v>
      </c>
      <c r="B1448" s="5">
        <v>42309</v>
      </c>
      <c r="C1448" t="s" s="3">
        <v>298</v>
      </c>
      <c r="D1448" t="s" s="3">
        <v>727</v>
      </c>
      <c r="E1448" s="6">
        <v>96000</v>
      </c>
      <c r="F1448" s="6">
        <f>E1448*0.19</f>
        <v>18240</v>
      </c>
      <c r="G1448" s="6">
        <f>E1448+F1448</f>
        <v>114240</v>
      </c>
      <c r="H1448" s="7">
        <f>IF(J1448=TRUE(),E1448,0)</f>
        <v>96000</v>
      </c>
      <c r="I1448" s="7">
        <f>IF(K1448=TRUE(),E1448,0)</f>
        <v>0</v>
      </c>
      <c r="J1448" t="b" s="4">
        <v>1</v>
      </c>
      <c r="K1448" t="b" s="4">
        <v>0</v>
      </c>
    </row>
    <row r="1449" ht="17" customHeight="1">
      <c r="A1449" s="4">
        <v>1155</v>
      </c>
      <c r="B1449" s="5">
        <v>42309</v>
      </c>
      <c r="C1449" t="s" s="3">
        <v>420</v>
      </c>
      <c r="D1449" t="s" s="3">
        <v>727</v>
      </c>
      <c r="E1449" s="6">
        <v>384000</v>
      </c>
      <c r="F1449" s="6">
        <f>E1449*0.19</f>
        <v>72960</v>
      </c>
      <c r="G1449" s="6">
        <f>E1449+F1449</f>
        <v>456960</v>
      </c>
      <c r="H1449" s="7">
        <f>IF(J1449=TRUE(),E1449,0)</f>
        <v>384000</v>
      </c>
      <c r="I1449" s="7">
        <f>IF(K1449=TRUE(),E1449,0)</f>
        <v>0</v>
      </c>
      <c r="J1449" t="b" s="4">
        <v>1</v>
      </c>
      <c r="K1449" t="b" s="4">
        <v>0</v>
      </c>
    </row>
    <row r="1450" ht="17" customHeight="1">
      <c r="A1450" s="4">
        <v>1156</v>
      </c>
      <c r="B1450" s="5">
        <v>42309</v>
      </c>
      <c r="C1450" t="s" s="3">
        <v>532</v>
      </c>
      <c r="D1450" t="s" s="3">
        <v>727</v>
      </c>
      <c r="E1450" s="6">
        <v>336000</v>
      </c>
      <c r="F1450" s="6">
        <f>E1450*0.19</f>
        <v>63840</v>
      </c>
      <c r="G1450" s="6">
        <f>E1450+F1450</f>
        <v>399840</v>
      </c>
      <c r="H1450" s="7">
        <f>IF(J1450=TRUE(),E1450,0)</f>
        <v>336000</v>
      </c>
      <c r="I1450" s="7">
        <f>IF(K1450=TRUE(),E1450,0)</f>
        <v>0</v>
      </c>
      <c r="J1450" t="b" s="4">
        <v>1</v>
      </c>
      <c r="K1450" t="b" s="4">
        <v>0</v>
      </c>
    </row>
    <row r="1451" ht="17" customHeight="1">
      <c r="A1451" s="4">
        <v>1157</v>
      </c>
      <c r="B1451" s="5">
        <v>42309</v>
      </c>
      <c r="C1451" t="s" s="3">
        <v>298</v>
      </c>
      <c r="D1451" t="s" s="3">
        <v>727</v>
      </c>
      <c r="E1451" s="6">
        <v>288000</v>
      </c>
      <c r="F1451" s="6">
        <f>E1451*0.19</f>
        <v>54720</v>
      </c>
      <c r="G1451" s="6">
        <f>E1451+F1451</f>
        <v>342720</v>
      </c>
      <c r="H1451" s="7">
        <f>IF(J1451=TRUE(),E1451,0)</f>
        <v>288000</v>
      </c>
      <c r="I1451" s="7">
        <f>IF(K1451=TRUE(),E1451,0)</f>
        <v>0</v>
      </c>
      <c r="J1451" t="b" s="4">
        <v>1</v>
      </c>
      <c r="K1451" t="b" s="4">
        <v>0</v>
      </c>
    </row>
    <row r="1452" ht="17" customHeight="1">
      <c r="A1452" s="4">
        <v>1158</v>
      </c>
      <c r="B1452" s="5">
        <v>42309</v>
      </c>
      <c r="C1452" t="s" s="3">
        <v>420</v>
      </c>
      <c r="D1452" t="s" s="3">
        <v>727</v>
      </c>
      <c r="E1452" s="6">
        <v>288000</v>
      </c>
      <c r="F1452" s="6">
        <f>E1452*0.19</f>
        <v>54720</v>
      </c>
      <c r="G1452" s="6">
        <f>E1452+F1452</f>
        <v>342720</v>
      </c>
      <c r="H1452" s="7">
        <f>IF(J1452=TRUE(),E1452,0)</f>
        <v>288000</v>
      </c>
      <c r="I1452" s="7">
        <f>IF(K1452=TRUE(),E1452,0)</f>
        <v>0</v>
      </c>
      <c r="J1452" t="b" s="4">
        <v>1</v>
      </c>
      <c r="K1452" t="b" s="4">
        <v>0</v>
      </c>
    </row>
    <row r="1453" ht="17" customHeight="1">
      <c r="A1453" s="4">
        <v>1159</v>
      </c>
      <c r="B1453" s="5">
        <v>42310</v>
      </c>
      <c r="C1453" t="s" s="3">
        <v>532</v>
      </c>
      <c r="D1453" t="s" s="3">
        <v>727</v>
      </c>
      <c r="E1453" s="6">
        <v>576000</v>
      </c>
      <c r="F1453" s="6">
        <f>E1453*0.19</f>
        <v>109440</v>
      </c>
      <c r="G1453" s="6">
        <f>E1453+F1453</f>
        <v>685440</v>
      </c>
      <c r="H1453" s="7">
        <f>IF(J1453=TRUE(),E1453,0)</f>
        <v>576000</v>
      </c>
      <c r="I1453" s="7">
        <f>IF(K1453=TRUE(),E1453,0)</f>
        <v>0</v>
      </c>
      <c r="J1453" t="b" s="4">
        <v>1</v>
      </c>
      <c r="K1453" t="b" s="4">
        <v>0</v>
      </c>
    </row>
    <row r="1454" ht="17" customHeight="1">
      <c r="A1454" s="4">
        <v>1160</v>
      </c>
      <c r="B1454" s="5">
        <v>42310</v>
      </c>
      <c r="C1454" t="s" s="3">
        <v>298</v>
      </c>
      <c r="D1454" t="s" s="3">
        <v>727</v>
      </c>
      <c r="E1454" s="6">
        <v>144000</v>
      </c>
      <c r="F1454" s="6">
        <f>E1454*0.19</f>
        <v>27360</v>
      </c>
      <c r="G1454" s="6">
        <f>E1454+F1454</f>
        <v>171360</v>
      </c>
      <c r="H1454" s="7">
        <f>IF(J1454=TRUE(),E1454,0)</f>
        <v>144000</v>
      </c>
      <c r="I1454" s="7">
        <f>IF(K1454=TRUE(),E1454,0)</f>
        <v>0</v>
      </c>
      <c r="J1454" t="b" s="4">
        <v>1</v>
      </c>
      <c r="K1454" t="b" s="4">
        <v>0</v>
      </c>
    </row>
    <row r="1455" ht="17" customHeight="1">
      <c r="A1455" s="4">
        <v>1161</v>
      </c>
      <c r="B1455" s="5">
        <v>42309</v>
      </c>
      <c r="C1455" t="s" s="3">
        <v>420</v>
      </c>
      <c r="D1455" t="s" s="3">
        <v>727</v>
      </c>
      <c r="E1455" s="6">
        <v>384000</v>
      </c>
      <c r="F1455" s="6">
        <f>E1455*0.19</f>
        <v>72960</v>
      </c>
      <c r="G1455" s="6">
        <f>E1455+F1455</f>
        <v>456960</v>
      </c>
      <c r="H1455" s="7">
        <f>IF(J1455=TRUE(),E1455,0)</f>
        <v>384000</v>
      </c>
      <c r="I1455" s="7">
        <f>IF(K1455=TRUE(),E1455,0)</f>
        <v>0</v>
      </c>
      <c r="J1455" t="b" s="4">
        <v>1</v>
      </c>
      <c r="K1455" t="b" s="4">
        <v>0</v>
      </c>
    </row>
    <row r="1456" ht="17" customHeight="1">
      <c r="A1456" s="4">
        <v>1162</v>
      </c>
      <c r="B1456" s="5">
        <v>42309</v>
      </c>
      <c r="C1456" t="s" s="3">
        <v>22</v>
      </c>
      <c r="D1456" t="s" s="3">
        <v>739</v>
      </c>
      <c r="E1456" s="6">
        <v>176455</v>
      </c>
      <c r="F1456" s="6">
        <f>E1456*0.19</f>
        <v>33526.45</v>
      </c>
      <c r="G1456" s="6">
        <f>E1456+F1456</f>
        <v>209981.45</v>
      </c>
      <c r="H1456" s="7">
        <f>IF(J1456=TRUE(),E1456,0)</f>
        <v>176455</v>
      </c>
      <c r="I1456" s="7">
        <f>IF(K1456=TRUE(),E1456,0)</f>
        <v>0</v>
      </c>
      <c r="J1456" t="b" s="4">
        <v>1</v>
      </c>
      <c r="K1456" t="b" s="4">
        <v>0</v>
      </c>
    </row>
    <row r="1457" ht="17" customHeight="1">
      <c r="A1457" s="4">
        <v>1163</v>
      </c>
      <c r="B1457" s="5">
        <v>42309</v>
      </c>
      <c r="C1457" t="s" s="3">
        <v>22</v>
      </c>
      <c r="D1457" t="s" s="3">
        <v>558</v>
      </c>
      <c r="E1457" s="6">
        <v>177439</v>
      </c>
      <c r="F1457" s="6">
        <f>E1457*0.19</f>
        <v>33713.41</v>
      </c>
      <c r="G1457" s="6">
        <f>E1457+F1457</f>
        <v>211152.41</v>
      </c>
      <c r="H1457" s="7">
        <f>IF(J1457=TRUE(),E1457,0)</f>
        <v>177439</v>
      </c>
      <c r="I1457" s="7">
        <f>IF(K1457=TRUE(),E1457,0)</f>
        <v>0</v>
      </c>
      <c r="J1457" t="b" s="4">
        <v>1</v>
      </c>
      <c r="K1457" t="b" s="4">
        <v>0</v>
      </c>
    </row>
    <row r="1458" ht="17" customHeight="1">
      <c r="A1458" s="4">
        <v>1164</v>
      </c>
      <c r="B1458" s="5">
        <v>42309</v>
      </c>
      <c r="C1458" t="s" s="3">
        <v>183</v>
      </c>
      <c r="D1458" t="s" s="3">
        <v>740</v>
      </c>
      <c r="E1458" s="6">
        <v>222384</v>
      </c>
      <c r="F1458" s="6">
        <f>E1458*0.19</f>
        <v>42252.96</v>
      </c>
      <c r="G1458" s="6">
        <f>E1458+F1458</f>
        <v>264636.96</v>
      </c>
      <c r="H1458" s="7">
        <f>IF(J1458=TRUE(),E1458,0)</f>
        <v>222384</v>
      </c>
      <c r="I1458" s="7">
        <f>IF(K1458=TRUE(),E1458,0)</f>
        <v>0</v>
      </c>
      <c r="J1458" t="b" s="4">
        <v>1</v>
      </c>
      <c r="K1458" t="b" s="4">
        <v>0</v>
      </c>
    </row>
    <row r="1459" ht="17" customHeight="1">
      <c r="A1459" s="4">
        <v>1165</v>
      </c>
      <c r="B1459" s="5">
        <v>42309</v>
      </c>
      <c r="C1459" t="s" s="3">
        <v>66</v>
      </c>
      <c r="D1459" t="s" s="3">
        <v>741</v>
      </c>
      <c r="E1459" s="6">
        <v>248133</v>
      </c>
      <c r="F1459" s="6">
        <f>E1459*0.19</f>
        <v>47145.27</v>
      </c>
      <c r="G1459" s="6">
        <f>E1459+F1459</f>
        <v>295278.27</v>
      </c>
      <c r="H1459" s="7">
        <f>IF(J1459=TRUE(),E1459,0)</f>
        <v>248133</v>
      </c>
      <c r="I1459" s="7">
        <f>IF(K1459=TRUE(),E1459,0)</f>
        <v>0</v>
      </c>
      <c r="J1459" t="b" s="4">
        <v>1</v>
      </c>
      <c r="K1459" t="b" s="4">
        <v>0</v>
      </c>
    </row>
    <row r="1460" ht="17" customHeight="1">
      <c r="A1460" s="4">
        <v>1166</v>
      </c>
      <c r="B1460" s="5">
        <v>42309</v>
      </c>
      <c r="C1460" t="s" s="3">
        <v>176</v>
      </c>
      <c r="D1460" t="s" s="3">
        <v>741</v>
      </c>
      <c r="E1460" s="6">
        <v>167795</v>
      </c>
      <c r="F1460" s="6">
        <f>E1460*0.19</f>
        <v>31881.05</v>
      </c>
      <c r="G1460" s="6">
        <f>E1460+F1460</f>
        <v>199676.05</v>
      </c>
      <c r="H1460" s="7">
        <f>IF(J1460=TRUE(),E1460,0)</f>
        <v>167795</v>
      </c>
      <c r="I1460" s="7">
        <f>IF(K1460=TRUE(),E1460,0)</f>
        <v>0</v>
      </c>
      <c r="J1460" t="b" s="4">
        <v>1</v>
      </c>
      <c r="K1460" t="b" s="4">
        <v>0</v>
      </c>
    </row>
    <row r="1461" ht="17" customHeight="1">
      <c r="A1461" s="4">
        <v>1167</v>
      </c>
      <c r="B1461" s="5">
        <v>42309</v>
      </c>
      <c r="C1461" t="s" s="3">
        <v>176</v>
      </c>
      <c r="D1461" t="s" s="3">
        <v>558</v>
      </c>
      <c r="E1461" s="6">
        <v>56087</v>
      </c>
      <c r="F1461" s="6">
        <f>E1461*0.19</f>
        <v>10656.53</v>
      </c>
      <c r="G1461" s="6">
        <f>E1461+F1461</f>
        <v>66743.53</v>
      </c>
      <c r="H1461" s="7">
        <f>IF(J1461=TRUE(),E1461,0)</f>
        <v>56087</v>
      </c>
      <c r="I1461" s="7">
        <f>IF(K1461=TRUE(),E1461,0)</f>
        <v>0</v>
      </c>
      <c r="J1461" t="b" s="4">
        <v>1</v>
      </c>
      <c r="K1461" t="b" s="4">
        <v>0</v>
      </c>
    </row>
    <row r="1462" ht="17" customHeight="1">
      <c r="A1462" s="4">
        <v>1168</v>
      </c>
      <c r="B1462" s="5">
        <v>42309</v>
      </c>
      <c r="C1462" t="s" s="3">
        <v>610</v>
      </c>
      <c r="D1462" t="s" s="3">
        <v>741</v>
      </c>
      <c r="E1462" s="6">
        <v>339149</v>
      </c>
      <c r="F1462" s="6">
        <f>E1462*0.19</f>
        <v>64438.31</v>
      </c>
      <c r="G1462" s="6">
        <f>E1462+F1462</f>
        <v>403587.31</v>
      </c>
      <c r="H1462" s="7">
        <f>IF(J1462=TRUE(),E1462,0)</f>
        <v>339149</v>
      </c>
      <c r="I1462" s="7">
        <f>IF(K1462=TRUE(),E1462,0)</f>
        <v>0</v>
      </c>
      <c r="J1462" t="b" s="4">
        <v>1</v>
      </c>
      <c r="K1462" t="b" s="4">
        <v>0</v>
      </c>
    </row>
    <row r="1463" ht="17" customHeight="1">
      <c r="A1463" s="4">
        <v>1169</v>
      </c>
      <c r="B1463" s="5">
        <v>42309</v>
      </c>
      <c r="C1463" t="s" s="3">
        <v>742</v>
      </c>
      <c r="D1463" t="s" s="3">
        <v>626</v>
      </c>
      <c r="E1463" s="6">
        <v>92500</v>
      </c>
      <c r="F1463" s="6">
        <f>E1463*0.19</f>
        <v>17575</v>
      </c>
      <c r="G1463" s="6">
        <f>E1463+F1463</f>
        <v>110075</v>
      </c>
      <c r="H1463" s="7">
        <f>IF(J1463=TRUE(),E1463,0)</f>
        <v>0</v>
      </c>
      <c r="I1463" s="7">
        <f>IF(K1463=TRUE(),E1463,0)</f>
        <v>0</v>
      </c>
      <c r="J1463" t="b" s="4">
        <v>0</v>
      </c>
      <c r="K1463" t="b" s="4">
        <v>0</v>
      </c>
    </row>
    <row r="1464" ht="17" customHeight="1">
      <c r="A1464" s="4">
        <v>1170</v>
      </c>
      <c r="B1464" s="5">
        <v>42309</v>
      </c>
      <c r="C1464" t="s" s="3">
        <v>26</v>
      </c>
      <c r="D1464" t="s" s="3">
        <v>743</v>
      </c>
      <c r="E1464" s="6">
        <v>641680</v>
      </c>
      <c r="F1464" s="6">
        <f>E1464*0.19</f>
        <v>121919.2</v>
      </c>
      <c r="G1464" s="6">
        <f>E1464+F1464</f>
        <v>763599.2</v>
      </c>
      <c r="H1464" s="7">
        <f>IF(J1464=TRUE(),E1464,0)</f>
        <v>0</v>
      </c>
      <c r="I1464" s="7">
        <f>IF(K1464=TRUE(),E1464,0)</f>
        <v>0</v>
      </c>
      <c r="J1464" t="b" s="4">
        <v>0</v>
      </c>
      <c r="K1464" t="b" s="4">
        <v>0</v>
      </c>
    </row>
    <row r="1465" ht="17" customHeight="1">
      <c r="A1465" s="4">
        <v>1171</v>
      </c>
      <c r="B1465" s="5">
        <v>42309</v>
      </c>
      <c r="C1465" t="s" s="3">
        <v>56</v>
      </c>
      <c r="D1465" t="s" s="3">
        <v>558</v>
      </c>
      <c r="E1465" s="6">
        <v>699750</v>
      </c>
      <c r="F1465" s="6">
        <f>E1465*0.19</f>
        <v>132952.5</v>
      </c>
      <c r="G1465" s="6">
        <f>E1465+F1465</f>
        <v>832702.5</v>
      </c>
      <c r="H1465" s="7">
        <f>IF(J1465=TRUE(),E1465,0)</f>
        <v>699750</v>
      </c>
      <c r="I1465" s="7">
        <f>IF(K1465=TRUE(),E1465,0)</f>
        <v>0</v>
      </c>
      <c r="J1465" t="b" s="4">
        <v>1</v>
      </c>
      <c r="K1465" t="b" s="4">
        <v>0</v>
      </c>
    </row>
    <row r="1466" ht="17.5" customHeight="1">
      <c r="A1466" s="9">
        <v>1172</v>
      </c>
      <c r="B1466" s="5">
        <v>42309</v>
      </c>
      <c r="C1466" t="s" s="10">
        <v>742</v>
      </c>
      <c r="D1466" t="s" s="10">
        <v>727</v>
      </c>
      <c r="E1466" s="11">
        <v>356918</v>
      </c>
      <c r="F1466" s="11">
        <f>E1466*0.19</f>
        <v>67814.42</v>
      </c>
      <c r="G1466" s="11">
        <f>E1466+F1466</f>
        <v>424732.42</v>
      </c>
      <c r="H1466" s="12">
        <f>IF(J1466=TRUE(),E1466,0)</f>
        <v>356918</v>
      </c>
      <c r="I1466" s="7">
        <f>IF(K1466=TRUE(),E1466,0)</f>
        <v>0</v>
      </c>
      <c r="J1466" t="b" s="9">
        <v>1</v>
      </c>
      <c r="K1466" t="b" s="9">
        <v>0</v>
      </c>
    </row>
    <row r="1467" ht="18" customHeight="1">
      <c r="A1467" s="13">
        <v>1173</v>
      </c>
      <c r="B1467" s="5">
        <v>42318</v>
      </c>
      <c r="C1467" t="s" s="14">
        <v>744</v>
      </c>
      <c r="D1467" t="s" s="14">
        <v>727</v>
      </c>
      <c r="E1467" s="15">
        <v>261227</v>
      </c>
      <c r="F1467" s="15">
        <f>E1467*0.19</f>
        <v>49633.13</v>
      </c>
      <c r="G1467" s="16">
        <f>E1467+F1467</f>
        <v>310860.13</v>
      </c>
      <c r="H1467" s="17">
        <f>IF(J1467=TRUE(),E1467,0)</f>
        <v>261227</v>
      </c>
      <c r="I1467" s="30">
        <f>IF(K1467=TRUE(),E1467,0)</f>
        <v>0</v>
      </c>
      <c r="J1467" t="b" s="23">
        <v>1</v>
      </c>
      <c r="K1467" t="b" s="18">
        <v>0</v>
      </c>
    </row>
    <row r="1468" ht="18" customHeight="1">
      <c r="A1468" s="13">
        <v>1174</v>
      </c>
      <c r="B1468" s="5">
        <v>42335</v>
      </c>
      <c r="C1468" t="s" s="14">
        <v>253</v>
      </c>
      <c r="D1468" t="s" s="14">
        <v>743</v>
      </c>
      <c r="E1468" s="15">
        <v>379000</v>
      </c>
      <c r="F1468" s="15">
        <f>E1468*0.19</f>
        <v>72010</v>
      </c>
      <c r="G1468" s="16">
        <f>E1468+F1468</f>
        <v>451010</v>
      </c>
      <c r="H1468" s="17">
        <f>IF(J1468=TRUE(),E1468,0)</f>
        <v>0</v>
      </c>
      <c r="I1468" s="30">
        <f>IF(K1468=TRUE(),E1468,0)</f>
        <v>0</v>
      </c>
      <c r="J1468" t="b" s="23">
        <v>0</v>
      </c>
      <c r="K1468" t="b" s="18">
        <v>0</v>
      </c>
    </row>
    <row r="1469" ht="17.5" customHeight="1">
      <c r="A1469" s="31">
        <v>1176</v>
      </c>
      <c r="B1469" s="5">
        <v>42337</v>
      </c>
      <c r="C1469" t="s" s="21">
        <v>420</v>
      </c>
      <c r="D1469" t="s" s="21">
        <v>727</v>
      </c>
      <c r="E1469" s="24">
        <v>288000</v>
      </c>
      <c r="F1469" s="24">
        <f>E1469*0.19</f>
        <v>54720</v>
      </c>
      <c r="G1469" s="24">
        <f>E1469+F1469</f>
        <v>342720</v>
      </c>
      <c r="H1469" s="22">
        <f>IF(J1469=TRUE(),E1469,0)</f>
        <v>288000</v>
      </c>
      <c r="I1469" s="7">
        <f>IF(K1469=TRUE(),E1469,0)</f>
        <v>0</v>
      </c>
      <c r="J1469" t="b" s="31">
        <v>1</v>
      </c>
      <c r="K1469" t="b" s="31">
        <v>0</v>
      </c>
    </row>
    <row r="1470" ht="17" customHeight="1">
      <c r="A1470" s="4">
        <v>1177</v>
      </c>
      <c r="B1470" s="5">
        <v>42337</v>
      </c>
      <c r="C1470" t="s" s="3">
        <v>532</v>
      </c>
      <c r="D1470" t="s" s="3">
        <v>727</v>
      </c>
      <c r="E1470" s="6">
        <v>528000</v>
      </c>
      <c r="F1470" s="6">
        <f>E1470*0.19</f>
        <v>100320</v>
      </c>
      <c r="G1470" s="6">
        <f>E1470+F1470</f>
        <v>628320</v>
      </c>
      <c r="H1470" s="7">
        <f>IF(J1470=TRUE(),E1470,0)</f>
        <v>528000</v>
      </c>
      <c r="I1470" s="7">
        <f>IF(K1470=TRUE(),E1470,0)</f>
        <v>0</v>
      </c>
      <c r="J1470" t="b" s="4">
        <v>1</v>
      </c>
      <c r="K1470" t="b" s="4">
        <v>0</v>
      </c>
    </row>
    <row r="1471" ht="17" customHeight="1">
      <c r="A1471" s="4">
        <v>1178</v>
      </c>
      <c r="B1471" s="5">
        <v>42337</v>
      </c>
      <c r="C1471" t="s" s="3">
        <v>298</v>
      </c>
      <c r="D1471" t="s" s="3">
        <v>727</v>
      </c>
      <c r="E1471" s="6">
        <v>288000</v>
      </c>
      <c r="F1471" s="6">
        <f>E1471*0.19</f>
        <v>54720</v>
      </c>
      <c r="G1471" s="6">
        <f>E1471+F1471</f>
        <v>342720</v>
      </c>
      <c r="H1471" s="7">
        <f>IF(J1471=TRUE(),E1471,0)</f>
        <v>288000</v>
      </c>
      <c r="I1471" s="7">
        <f>IF(K1471=TRUE(),E1471,0)</f>
        <v>0</v>
      </c>
      <c r="J1471" t="b" s="4">
        <v>1</v>
      </c>
      <c r="K1471" t="b" s="4">
        <v>0</v>
      </c>
    </row>
    <row r="1472" ht="17" customHeight="1">
      <c r="A1472" s="4">
        <v>1179</v>
      </c>
      <c r="B1472" s="5">
        <v>42337</v>
      </c>
      <c r="C1472" t="s" s="3">
        <v>420</v>
      </c>
      <c r="D1472" t="s" s="3">
        <v>727</v>
      </c>
      <c r="E1472" s="6">
        <v>384000</v>
      </c>
      <c r="F1472" s="6">
        <f>E1472*0.19</f>
        <v>72960</v>
      </c>
      <c r="G1472" s="6">
        <f>E1472+F1472</f>
        <v>456960</v>
      </c>
      <c r="H1472" s="7">
        <f>IF(J1472=TRUE(),E1472,0)</f>
        <v>384000</v>
      </c>
      <c r="I1472" s="7">
        <f>IF(K1472=TRUE(),E1472,0)</f>
        <v>0</v>
      </c>
      <c r="J1472" t="b" s="4">
        <v>1</v>
      </c>
      <c r="K1472" t="b" s="4">
        <v>0</v>
      </c>
    </row>
    <row r="1473" ht="17" customHeight="1">
      <c r="A1473" s="4">
        <v>1180</v>
      </c>
      <c r="B1473" s="5">
        <v>42337</v>
      </c>
      <c r="C1473" t="s" s="3">
        <v>298</v>
      </c>
      <c r="D1473" t="s" s="3">
        <v>727</v>
      </c>
      <c r="E1473" s="6">
        <v>48000</v>
      </c>
      <c r="F1473" s="6">
        <f>E1473*0.19</f>
        <v>9120</v>
      </c>
      <c r="G1473" s="6">
        <f>E1473+F1473</f>
        <v>57120</v>
      </c>
      <c r="H1473" s="7">
        <f>IF(J1473=TRUE(),E1473,0)</f>
        <v>48000</v>
      </c>
      <c r="I1473" s="7">
        <f>IF(K1473=TRUE(),E1473,0)</f>
        <v>0</v>
      </c>
      <c r="J1473" t="b" s="4">
        <v>1</v>
      </c>
      <c r="K1473" t="b" s="4">
        <v>0</v>
      </c>
    </row>
    <row r="1474" ht="17.5" customHeight="1">
      <c r="A1474" s="9">
        <v>1181</v>
      </c>
      <c r="B1474" s="5">
        <v>42337</v>
      </c>
      <c r="C1474" t="s" s="10">
        <v>532</v>
      </c>
      <c r="D1474" t="s" s="10">
        <v>727</v>
      </c>
      <c r="E1474" s="11">
        <v>624000</v>
      </c>
      <c r="F1474" s="11">
        <f>E1474*0.19</f>
        <v>118560</v>
      </c>
      <c r="G1474" s="11">
        <f>E1474+F1474</f>
        <v>742560</v>
      </c>
      <c r="H1474" s="12">
        <f>IF(J1474=TRUE(),E1474,0)</f>
        <v>624000</v>
      </c>
      <c r="I1474" s="12">
        <f>IF(K1474=TRUE(),E1474,0)</f>
        <v>0</v>
      </c>
      <c r="J1474" t="b" s="9">
        <v>1</v>
      </c>
      <c r="K1474" t="b" s="9">
        <v>0</v>
      </c>
    </row>
    <row r="1475" ht="18" customHeight="1">
      <c r="A1475" s="13">
        <f>COUNT(A1443:A1474)</f>
        <v>32</v>
      </c>
      <c r="B1475" t="s" s="3">
        <v>745</v>
      </c>
      <c r="C1475" t="s" s="14">
        <v>7</v>
      </c>
      <c r="D1475" s="14"/>
      <c r="E1475" s="15">
        <f>SUM(E1443:E1474)</f>
        <v>10861812</v>
      </c>
      <c r="F1475" s="15">
        <f>SUM(F1443:F1474)</f>
        <v>2063744.28</v>
      </c>
      <c r="G1475" s="16">
        <f>SUM(G1443:G1474)</f>
        <v>12925556.28</v>
      </c>
      <c r="H1475" s="17">
        <f>SUM(H1443:H1474)</f>
        <v>9083431</v>
      </c>
      <c r="I1475" s="17"/>
      <c r="J1475" s="18">
        <f>COUNTIF(J1443:J1474,TRUE())</f>
        <v>28</v>
      </c>
      <c r="K1475" s="19"/>
    </row>
    <row r="1476" ht="17.5" customHeight="1">
      <c r="A1476" s="20"/>
      <c r="B1476" s="3"/>
      <c r="C1476" s="20"/>
      <c r="D1476" s="21"/>
      <c r="E1476" s="24"/>
      <c r="F1476" s="24"/>
      <c r="G1476" s="24"/>
      <c r="H1476" s="22"/>
      <c r="I1476" s="22"/>
      <c r="J1476" s="20"/>
      <c r="K1476" s="20"/>
    </row>
    <row r="1477" ht="17" customHeight="1">
      <c r="A1477" s="4">
        <v>1175</v>
      </c>
      <c r="B1477" s="5">
        <v>42339</v>
      </c>
      <c r="C1477" t="s" s="3">
        <v>298</v>
      </c>
      <c r="D1477" t="s" s="3">
        <v>746</v>
      </c>
      <c r="E1477" s="6">
        <v>192000</v>
      </c>
      <c r="F1477" s="6">
        <f>E1477*0.19</f>
        <v>36480</v>
      </c>
      <c r="G1477" s="6">
        <f>E1477+F1477</f>
        <v>228480</v>
      </c>
      <c r="H1477" s="7">
        <f>IF(J1477=TRUE(),E1477,0)</f>
        <v>192000</v>
      </c>
      <c r="I1477" s="7">
        <f>IF(K1477=TRUE(),E1477,0)</f>
        <v>0</v>
      </c>
      <c r="J1477" t="b" s="4">
        <v>1</v>
      </c>
      <c r="K1477" t="b" s="4">
        <v>0</v>
      </c>
    </row>
    <row r="1478" ht="17" customHeight="1">
      <c r="A1478" s="4">
        <v>1182</v>
      </c>
      <c r="B1478" s="5">
        <v>42355</v>
      </c>
      <c r="C1478" t="s" s="3">
        <v>747</v>
      </c>
      <c r="D1478" t="s" s="3">
        <v>748</v>
      </c>
      <c r="E1478" s="6">
        <v>3847420</v>
      </c>
      <c r="F1478" s="6">
        <f>E1478*0.19</f>
        <v>731009.8</v>
      </c>
      <c r="G1478" s="6">
        <f>E1478+F1478</f>
        <v>4578429.8</v>
      </c>
      <c r="H1478" s="7">
        <f>IF(J1478=TRUE(),E1478,0)</f>
        <v>0</v>
      </c>
      <c r="I1478" s="7">
        <f>IF(K1478=TRUE(),E1478,0)</f>
        <v>0</v>
      </c>
      <c r="J1478" t="b" s="4">
        <v>0</v>
      </c>
      <c r="K1478" t="b" s="4">
        <v>0</v>
      </c>
    </row>
    <row r="1479" ht="17" customHeight="1">
      <c r="A1479" s="4">
        <v>1183</v>
      </c>
      <c r="B1479" s="5">
        <v>42359</v>
      </c>
      <c r="C1479" t="s" s="3">
        <v>420</v>
      </c>
      <c r="D1479" t="s" s="3">
        <v>566</v>
      </c>
      <c r="E1479" s="6">
        <v>500000</v>
      </c>
      <c r="F1479" s="6">
        <f>E1479*0.19</f>
        <v>95000</v>
      </c>
      <c r="G1479" s="6">
        <f>E1479+F1479</f>
        <v>595000</v>
      </c>
      <c r="H1479" s="7">
        <f>IF(J1479=TRUE(),E1479,0)</f>
        <v>0</v>
      </c>
      <c r="I1479" s="7">
        <f>IF(K1479=TRUE(),E1479,0)</f>
        <v>0</v>
      </c>
      <c r="J1479" t="b" s="4">
        <v>0</v>
      </c>
      <c r="K1479" t="b" s="4">
        <v>0</v>
      </c>
    </row>
    <row r="1480" ht="17" customHeight="1">
      <c r="A1480" s="4">
        <v>1184</v>
      </c>
      <c r="B1480" s="5">
        <v>42359</v>
      </c>
      <c r="C1480" t="s" s="3">
        <v>420</v>
      </c>
      <c r="D1480" t="s" s="3">
        <v>566</v>
      </c>
      <c r="E1480" s="6">
        <v>260000</v>
      </c>
      <c r="F1480" s="6">
        <f>E1480*0.19</f>
        <v>49400</v>
      </c>
      <c r="G1480" s="6">
        <f>E1480+F1480</f>
        <v>309400</v>
      </c>
      <c r="H1480" s="7">
        <f>IF(J1480=TRUE(),E1480,0)</f>
        <v>0</v>
      </c>
      <c r="I1480" s="7">
        <f>IF(K1480=TRUE(),E1480,0)</f>
        <v>0</v>
      </c>
      <c r="J1480" t="b" s="4">
        <v>0</v>
      </c>
      <c r="K1480" t="b" s="4">
        <v>0</v>
      </c>
    </row>
    <row r="1481" ht="17" customHeight="1">
      <c r="A1481" s="4">
        <v>1185</v>
      </c>
      <c r="B1481" s="5">
        <v>42359</v>
      </c>
      <c r="C1481" t="s" s="3">
        <v>298</v>
      </c>
      <c r="D1481" t="s" s="3">
        <v>727</v>
      </c>
      <c r="E1481" s="6">
        <v>96000</v>
      </c>
      <c r="F1481" s="6">
        <f>E1481*0.19</f>
        <v>18240</v>
      </c>
      <c r="G1481" s="6">
        <f>E1481+F1481</f>
        <v>114240</v>
      </c>
      <c r="H1481" s="7">
        <f>IF(J1481=TRUE(),E1481,0)</f>
        <v>96000</v>
      </c>
      <c r="I1481" s="7">
        <f>IF(K1481=TRUE(),E1481,0)</f>
        <v>0</v>
      </c>
      <c r="J1481" t="b" s="4">
        <v>1</v>
      </c>
      <c r="K1481" t="b" s="4">
        <v>0</v>
      </c>
    </row>
    <row r="1482" ht="17" customHeight="1">
      <c r="A1482" s="4">
        <v>1186</v>
      </c>
      <c r="B1482" s="5">
        <v>42370</v>
      </c>
      <c r="C1482" t="s" s="3">
        <v>22</v>
      </c>
      <c r="D1482" t="s" s="3">
        <v>749</v>
      </c>
      <c r="E1482" s="6">
        <v>178189</v>
      </c>
      <c r="F1482" s="6">
        <f>E1482*0.19</f>
        <v>33855.91</v>
      </c>
      <c r="G1482" s="6">
        <f>E1482+F1482</f>
        <v>212044.91</v>
      </c>
      <c r="H1482" s="7">
        <f>IF(J1482=TRUE(),E1482,0)</f>
        <v>178189</v>
      </c>
      <c r="I1482" s="7">
        <f>IF(K1482=TRUE(),E1482,0)</f>
        <v>0</v>
      </c>
      <c r="J1482" t="b" s="4">
        <v>1</v>
      </c>
      <c r="K1482" t="b" s="4">
        <v>0</v>
      </c>
    </row>
    <row r="1483" ht="17" customHeight="1">
      <c r="A1483" s="4">
        <v>1188</v>
      </c>
      <c r="B1483" s="5">
        <v>42370</v>
      </c>
      <c r="C1483" t="s" s="3">
        <v>723</v>
      </c>
      <c r="D1483" t="s" s="3">
        <v>363</v>
      </c>
      <c r="E1483" s="6">
        <v>138550</v>
      </c>
      <c r="F1483" s="6">
        <f>E1483*0.19</f>
        <v>26324.5</v>
      </c>
      <c r="G1483" s="6">
        <f>E1483+F1483</f>
        <v>164874.5</v>
      </c>
      <c r="H1483" s="7">
        <f>IF(J1483=TRUE(),E1483,0)</f>
        <v>0</v>
      </c>
      <c r="I1483" s="7">
        <f>IF(K1483=TRUE(),E1483,0)</f>
        <v>0</v>
      </c>
      <c r="J1483" t="b" s="4">
        <v>0</v>
      </c>
      <c r="K1483" t="b" s="4">
        <v>0</v>
      </c>
    </row>
    <row r="1484" ht="17.5" customHeight="1">
      <c r="A1484" s="9">
        <v>1189</v>
      </c>
      <c r="B1484" s="5">
        <v>42370</v>
      </c>
      <c r="C1484" t="s" s="10">
        <v>723</v>
      </c>
      <c r="D1484" t="s" s="10">
        <v>663</v>
      </c>
      <c r="E1484" s="11">
        <v>607851</v>
      </c>
      <c r="F1484" s="11">
        <f>E1484*0.19</f>
        <v>115491.69</v>
      </c>
      <c r="G1484" s="11">
        <f>E1484+F1484</f>
        <v>723342.6899999999</v>
      </c>
      <c r="H1484" s="12">
        <f>IF(J1484=TRUE(),E1484,0)</f>
        <v>607851</v>
      </c>
      <c r="I1484" s="12">
        <f>IF(K1484=TRUE(),E1484,0)</f>
        <v>0</v>
      </c>
      <c r="J1484" t="b" s="9">
        <v>1</v>
      </c>
      <c r="K1484" t="b" s="9">
        <v>0</v>
      </c>
    </row>
    <row r="1485" ht="18" customHeight="1">
      <c r="A1485" s="13">
        <f>COUNT(A1477:A1484)</f>
        <v>8</v>
      </c>
      <c r="B1485" t="s" s="3">
        <v>750</v>
      </c>
      <c r="C1485" t="s" s="14">
        <v>7</v>
      </c>
      <c r="D1485" s="14"/>
      <c r="E1485" s="15">
        <f>SUM(E1477:E1484)</f>
        <v>5820010</v>
      </c>
      <c r="F1485" s="15">
        <f>SUM(F1477:F1484)</f>
        <v>1105801.9</v>
      </c>
      <c r="G1485" s="16">
        <f>SUM(G1477:G1484)</f>
        <v>6925811.9</v>
      </c>
      <c r="H1485" s="17">
        <f>SUM(H1477:H1484)</f>
        <v>1074040</v>
      </c>
      <c r="I1485" s="17"/>
      <c r="J1485" s="18">
        <f>COUNTIF(J1477:J1484,TRUE())</f>
        <v>4</v>
      </c>
      <c r="K1485" s="19"/>
    </row>
    <row r="1486" ht="17.5" customHeight="1">
      <c r="A1486" s="20"/>
      <c r="B1486" s="3"/>
      <c r="C1486" s="20"/>
      <c r="D1486" s="21"/>
      <c r="E1486" s="24"/>
      <c r="F1486" s="24"/>
      <c r="G1486" s="24"/>
      <c r="H1486" s="22"/>
      <c r="I1486" s="22"/>
      <c r="J1486" s="20"/>
      <c r="K1486" s="20"/>
    </row>
    <row r="1487" ht="17" customHeight="1">
      <c r="A1487" s="4">
        <v>1187</v>
      </c>
      <c r="B1487" s="5">
        <v>42370</v>
      </c>
      <c r="C1487" t="s" s="3">
        <v>22</v>
      </c>
      <c r="D1487" t="s" s="3">
        <v>751</v>
      </c>
      <c r="E1487" s="6">
        <v>178378</v>
      </c>
      <c r="F1487" s="6">
        <f>E1487*0.19</f>
        <v>33891.82</v>
      </c>
      <c r="G1487" s="6">
        <f>E1487+F1487</f>
        <v>212269.82</v>
      </c>
      <c r="H1487" s="7">
        <f>IF(J1487=TRUE(),E1487,0)</f>
        <v>178378</v>
      </c>
      <c r="I1487" s="7">
        <f>IF(K1487=TRUE(),E1487,0)</f>
        <v>0</v>
      </c>
      <c r="J1487" t="b" s="4">
        <v>1</v>
      </c>
      <c r="K1487" t="b" s="4">
        <v>0</v>
      </c>
    </row>
    <row r="1488" ht="17.5" customHeight="1">
      <c r="A1488" s="9">
        <v>1190</v>
      </c>
      <c r="B1488" s="5">
        <v>42394</v>
      </c>
      <c r="C1488" t="s" s="10">
        <v>33</v>
      </c>
      <c r="D1488" t="s" s="10">
        <v>53</v>
      </c>
      <c r="E1488" s="11">
        <v>1515500</v>
      </c>
      <c r="F1488" s="11">
        <f>E1488*0.19</f>
        <v>287945</v>
      </c>
      <c r="G1488" s="11">
        <f>E1488+F1488</f>
        <v>1803445</v>
      </c>
      <c r="H1488" s="12">
        <f>IF(J1488=TRUE(),E1488,0)</f>
        <v>0</v>
      </c>
      <c r="I1488" s="12">
        <f>IF(K1488=TRUE(),E1488,0)</f>
        <v>0</v>
      </c>
      <c r="J1488" t="b" s="9">
        <v>0</v>
      </c>
      <c r="K1488" t="b" s="9">
        <v>0</v>
      </c>
    </row>
    <row r="1489" ht="18" customHeight="1">
      <c r="A1489" s="13">
        <f>COUNT(A1487:A1488)</f>
        <v>2</v>
      </c>
      <c r="B1489" t="s" s="3">
        <v>752</v>
      </c>
      <c r="C1489" t="s" s="14">
        <v>7</v>
      </c>
      <c r="D1489" s="14"/>
      <c r="E1489" s="15">
        <f>SUM(E1487:E1488)</f>
        <v>1693878</v>
      </c>
      <c r="F1489" s="15">
        <f>SUM(F1487:F1488)</f>
        <v>321836.82</v>
      </c>
      <c r="G1489" s="16">
        <f>SUM(G1487:G1488)</f>
        <v>2015714.82</v>
      </c>
      <c r="H1489" s="17">
        <f>SUM(H1487:H1488)</f>
        <v>178378</v>
      </c>
      <c r="I1489" s="17"/>
      <c r="J1489" s="18">
        <f>COUNTIF(J1487:J1488,TRUE())</f>
        <v>1</v>
      </c>
      <c r="K1489" s="19"/>
    </row>
    <row r="1491" ht="18" customHeight="1">
      <c r="L1491" t="s" s="2">
        <v>753</v>
      </c>
      <c r="M1491" s="2"/>
      <c r="N1491" s="2"/>
      <c r="O1491" s="2"/>
    </row>
    <row r="1492" ht="15.35" customHeight="1">
      <c r="L1492" s="33"/>
      <c r="M1492" s="33"/>
      <c r="N1492" s="33"/>
      <c r="O1492" s="33"/>
    </row>
    <row r="1493" ht="15.35" customHeight="1">
      <c r="L1493" s="33"/>
      <c r="M1493" s="33"/>
      <c r="N1493" s="33"/>
      <c r="O1493" s="33"/>
    </row>
    <row r="1494" ht="15.35" customHeight="1">
      <c r="L1494" s="33"/>
      <c r="M1494" s="33"/>
      <c r="N1494" s="33"/>
      <c r="O1494" s="33"/>
    </row>
    <row r="1495" ht="15.35" customHeight="1">
      <c r="L1495" s="33"/>
      <c r="M1495" s="33"/>
      <c r="N1495" s="33"/>
      <c r="O1495" s="33"/>
    </row>
    <row r="1496" ht="15.35" customHeight="1">
      <c r="L1496" s="33"/>
      <c r="M1496" s="33"/>
      <c r="N1496" s="33"/>
      <c r="O1496" s="33"/>
    </row>
    <row r="1497" ht="15.35" customHeight="1">
      <c r="L1497" s="33"/>
      <c r="M1497" s="33"/>
      <c r="N1497" s="33"/>
      <c r="O1497" s="33"/>
    </row>
    <row r="1498" ht="15.35" customHeight="1">
      <c r="L1498" s="33"/>
      <c r="M1498" s="33"/>
      <c r="N1498" s="33"/>
      <c r="O1498" s="33"/>
    </row>
    <row r="1499" ht="15.35" customHeight="1">
      <c r="L1499" s="33"/>
      <c r="M1499" s="33"/>
      <c r="N1499" s="33"/>
      <c r="O1499" s="33"/>
    </row>
    <row r="1500" ht="15.35" customHeight="1">
      <c r="L1500" s="33"/>
      <c r="M1500" s="33"/>
      <c r="N1500" s="33"/>
      <c r="O1500" s="33"/>
    </row>
    <row r="1501" ht="15.35" customHeight="1">
      <c r="L1501" s="33"/>
      <c r="M1501" s="33"/>
      <c r="N1501" t="s" s="34">
        <v>754</v>
      </c>
      <c r="O1501" t="s" s="34">
        <v>755</v>
      </c>
    </row>
    <row r="1502" ht="15.35" customHeight="1">
      <c r="L1502" s="33"/>
      <c r="M1502" s="33"/>
      <c r="N1502" t="s" s="34">
        <v>756</v>
      </c>
      <c r="O1502" t="s" s="34">
        <v>757</v>
      </c>
    </row>
    <row r="1503" ht="15.35" customHeight="1">
      <c r="L1503" s="33"/>
      <c r="M1503" s="33"/>
      <c r="N1503" s="33"/>
      <c r="O1503" t="s" s="34">
        <v>758</v>
      </c>
    </row>
    <row r="1504" ht="15.35" customHeight="1">
      <c r="L1504" s="33"/>
      <c r="M1504" s="33"/>
      <c r="N1504" s="33"/>
      <c r="O1504" t="s" s="34">
        <v>759</v>
      </c>
    </row>
  </sheetData>
  <mergeCells count="2">
    <mergeCell ref="A1:K1"/>
    <mergeCell ref="L1491:O149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I354"/>
  <sheetViews>
    <sheetView workbookViewId="0" showGridLines="0" defaultGridColor="1"/>
  </sheetViews>
  <sheetFormatPr defaultColWidth="10.8333" defaultRowHeight="16.75" customHeight="1" outlineLevelRow="0" outlineLevelCol="0"/>
  <cols>
    <col min="1" max="1" width="7.5" style="35" customWidth="1"/>
    <col min="2" max="2" width="15.6719" style="35" customWidth="1"/>
    <col min="3" max="3" width="52.6719" style="35" customWidth="1"/>
    <col min="4" max="4" width="47.1719" style="35" customWidth="1"/>
    <col min="5" max="5" width="11.6719" style="35" customWidth="1"/>
    <col min="6" max="6" width="12" style="35" customWidth="1"/>
    <col min="7" max="9" width="13" style="35" customWidth="1"/>
    <col min="10" max="256" width="10.8516" style="35" customWidth="1"/>
  </cols>
  <sheetData>
    <row r="1" ht="24" customHeight="1">
      <c r="A1" t="s" s="2">
        <v>760</v>
      </c>
      <c r="B1" s="2"/>
      <c r="C1" s="2"/>
      <c r="D1" s="2"/>
      <c r="E1" s="2"/>
      <c r="F1" s="2"/>
      <c r="G1" s="2"/>
      <c r="H1" s="2"/>
      <c r="I1" s="2"/>
    </row>
    <row r="2" ht="17" customHeight="1">
      <c r="A2" t="s" s="36">
        <v>1</v>
      </c>
      <c r="B2" t="s" s="36">
        <v>2</v>
      </c>
      <c r="C2" t="s" s="36">
        <v>3</v>
      </c>
      <c r="D2" t="s" s="36">
        <v>4</v>
      </c>
      <c r="E2" t="s" s="36">
        <v>5</v>
      </c>
      <c r="F2" t="s" s="3">
        <v>6</v>
      </c>
      <c r="G2" t="s" s="3">
        <v>7</v>
      </c>
      <c r="H2" s="7"/>
      <c r="I2" t="s" s="3">
        <v>9</v>
      </c>
    </row>
    <row r="3" ht="17" customHeight="1">
      <c r="A3" s="37">
        <v>1</v>
      </c>
      <c r="B3" s="38"/>
      <c r="C3" t="s" s="39">
        <v>761</v>
      </c>
      <c r="D3" t="s" s="39">
        <v>762</v>
      </c>
      <c r="E3" s="40">
        <v>6637933</v>
      </c>
      <c r="F3" s="41">
        <f>E3*0.19</f>
        <v>1261207.27</v>
      </c>
      <c r="G3" s="7">
        <f>E3+F3</f>
        <v>7899140.27</v>
      </c>
      <c r="H3" s="7">
        <f>IF(I3=TRUE(),E3,0)</f>
        <v>0</v>
      </c>
      <c r="I3" t="b" s="4">
        <v>0</v>
      </c>
    </row>
    <row r="4" ht="17" customHeight="1">
      <c r="A4" s="37">
        <v>2</v>
      </c>
      <c r="B4" s="38">
        <v>42391</v>
      </c>
      <c r="C4" t="s" s="39">
        <v>763</v>
      </c>
      <c r="D4" t="s" s="39">
        <v>764</v>
      </c>
      <c r="E4" s="40">
        <v>341629</v>
      </c>
      <c r="F4" s="41">
        <f>E4*0.19</f>
        <v>64909.51</v>
      </c>
      <c r="G4" s="7">
        <f>E4+F4</f>
        <v>406538.51</v>
      </c>
      <c r="H4" s="7">
        <f>IF(I4=TRUE(),E4,0)</f>
        <v>0</v>
      </c>
      <c r="I4" t="b" s="4">
        <v>0</v>
      </c>
    </row>
    <row r="5" ht="17" customHeight="1">
      <c r="A5" s="37">
        <v>3</v>
      </c>
      <c r="B5" s="38">
        <v>42394</v>
      </c>
      <c r="C5" s="42"/>
      <c r="D5" s="42"/>
      <c r="E5" s="40">
        <v>95200</v>
      </c>
      <c r="F5" s="41">
        <f>E5*0.19</f>
        <v>18088</v>
      </c>
      <c r="G5" s="7">
        <f>E5+F5</f>
        <v>113288</v>
      </c>
      <c r="H5" s="7">
        <f>IF(I5=TRUE(),E5,0)</f>
        <v>0</v>
      </c>
      <c r="I5" t="b" s="4">
        <v>0</v>
      </c>
    </row>
    <row r="6" ht="17" customHeight="1">
      <c r="A6" s="37">
        <v>4</v>
      </c>
      <c r="B6" s="38">
        <v>42394</v>
      </c>
      <c r="C6" t="s" s="39">
        <v>765</v>
      </c>
      <c r="D6" t="s" s="39">
        <v>766</v>
      </c>
      <c r="E6" s="40">
        <v>572688</v>
      </c>
      <c r="F6" s="41">
        <f>E6*0.19</f>
        <v>108810.72</v>
      </c>
      <c r="G6" s="7">
        <f>E6+F6</f>
        <v>681498.72</v>
      </c>
      <c r="H6" s="7">
        <f>IF(I6=TRUE(),E6,0)</f>
        <v>0</v>
      </c>
      <c r="I6" t="b" s="4">
        <v>0</v>
      </c>
    </row>
    <row r="7" ht="17.5" customHeight="1">
      <c r="A7" s="37">
        <v>5</v>
      </c>
      <c r="B7" s="38">
        <v>42396</v>
      </c>
      <c r="C7" t="s" s="39">
        <v>767</v>
      </c>
      <c r="D7" t="s" s="39">
        <v>768</v>
      </c>
      <c r="E7" s="40">
        <v>95200</v>
      </c>
      <c r="F7" s="43">
        <f>E7*0.19</f>
        <v>18088</v>
      </c>
      <c r="G7" s="12">
        <f>E7+F7</f>
        <v>113288</v>
      </c>
      <c r="H7" s="12">
        <f>IF(I7=TRUE(),E7,0)</f>
        <v>0</v>
      </c>
      <c r="I7" t="b" s="9">
        <v>0</v>
      </c>
    </row>
    <row r="8" ht="18" customHeight="1">
      <c r="A8" s="37">
        <v>6</v>
      </c>
      <c r="B8" s="38">
        <v>42398</v>
      </c>
      <c r="C8" t="s" s="39">
        <v>769</v>
      </c>
      <c r="D8" t="s" s="39">
        <v>770</v>
      </c>
      <c r="E8" s="40">
        <v>377230</v>
      </c>
      <c r="F8" s="44">
        <f>E8*0.19</f>
        <v>71673.7</v>
      </c>
      <c r="G8" s="45">
        <f>E8+F8</f>
        <v>448903.7</v>
      </c>
      <c r="H8" s="17">
        <f>IF(I8=TRUE(),E8,0)</f>
        <v>0</v>
      </c>
      <c r="I8" t="b" s="18">
        <v>0</v>
      </c>
    </row>
    <row r="9" ht="18" customHeight="1">
      <c r="A9" s="37">
        <v>7</v>
      </c>
      <c r="B9" s="38">
        <v>42398</v>
      </c>
      <c r="C9" t="s" s="39">
        <v>769</v>
      </c>
      <c r="D9" t="s" s="39">
        <v>770</v>
      </c>
      <c r="E9" s="40">
        <v>589050</v>
      </c>
      <c r="F9" s="44">
        <f>E9*0.19</f>
        <v>111919.5</v>
      </c>
      <c r="G9" s="45">
        <f>E9+F9</f>
        <v>700969.5</v>
      </c>
      <c r="H9" s="17">
        <f>IF(I9=TRUE(),E9,0)</f>
        <v>0</v>
      </c>
      <c r="I9" t="b" s="18">
        <v>0</v>
      </c>
    </row>
    <row r="10" ht="18" customHeight="1">
      <c r="A10" s="37">
        <v>8</v>
      </c>
      <c r="B10" s="38">
        <v>42398</v>
      </c>
      <c r="C10" t="s" s="39">
        <v>769</v>
      </c>
      <c r="D10" t="s" s="39">
        <v>770</v>
      </c>
      <c r="E10" s="40">
        <v>662830</v>
      </c>
      <c r="F10" s="44">
        <f>E10*0.19</f>
        <v>125937.7</v>
      </c>
      <c r="G10" s="45">
        <f>E10+F10</f>
        <v>788767.7</v>
      </c>
      <c r="H10" s="17">
        <f>IF(I10=TRUE(),E10,0)</f>
        <v>0</v>
      </c>
      <c r="I10" t="b" s="18">
        <v>0</v>
      </c>
    </row>
    <row r="11" ht="18" customHeight="1">
      <c r="A11" s="37">
        <v>9</v>
      </c>
      <c r="B11" s="38">
        <v>42398</v>
      </c>
      <c r="C11" t="s" s="39">
        <v>769</v>
      </c>
      <c r="D11" t="s" s="39">
        <v>770</v>
      </c>
      <c r="E11" s="40">
        <v>107100</v>
      </c>
      <c r="F11" s="44">
        <f>E11*0.19</f>
        <v>20349</v>
      </c>
      <c r="G11" s="45">
        <f>E11+F11</f>
        <v>127449</v>
      </c>
      <c r="H11" s="17">
        <f>IF(I11=TRUE(),E11,0)</f>
        <v>0</v>
      </c>
      <c r="I11" t="b" s="18">
        <v>0</v>
      </c>
    </row>
    <row r="12" ht="18" customHeight="1">
      <c r="A12" s="37">
        <v>10</v>
      </c>
      <c r="B12" s="38">
        <v>42374</v>
      </c>
      <c r="C12" t="s" s="39">
        <v>771</v>
      </c>
      <c r="D12" t="s" s="39">
        <v>9</v>
      </c>
      <c r="E12" s="40">
        <v>406635</v>
      </c>
      <c r="F12" s="44">
        <f>E12*0.19</f>
        <v>77260.649999999994</v>
      </c>
      <c r="G12" s="45">
        <f>E12+F12</f>
        <v>483895.65</v>
      </c>
      <c r="H12" s="17">
        <f>IF(I12=TRUE(),E12,0)</f>
        <v>406635</v>
      </c>
      <c r="I12" t="b" s="18">
        <v>1</v>
      </c>
    </row>
    <row r="13" ht="18" customHeight="1">
      <c r="A13" s="37">
        <v>11</v>
      </c>
      <c r="B13" s="38">
        <v>42374</v>
      </c>
      <c r="C13" t="s" s="39">
        <v>771</v>
      </c>
      <c r="D13" t="s" s="39">
        <v>772</v>
      </c>
      <c r="E13" s="40">
        <v>154700</v>
      </c>
      <c r="F13" s="44">
        <f>E13*0.19</f>
        <v>29393</v>
      </c>
      <c r="G13" s="45">
        <f>E13+F13</f>
        <v>184093</v>
      </c>
      <c r="H13" s="17">
        <f>IF(I13=TRUE(),E13,0)</f>
        <v>0</v>
      </c>
      <c r="I13" t="b" s="18">
        <v>0</v>
      </c>
    </row>
    <row r="14" ht="18" customHeight="1">
      <c r="A14" s="37">
        <v>12</v>
      </c>
      <c r="B14" s="38">
        <v>42374</v>
      </c>
      <c r="C14" t="s" s="39">
        <v>773</v>
      </c>
      <c r="D14" t="s" s="39">
        <v>774</v>
      </c>
      <c r="E14" s="40">
        <v>426980</v>
      </c>
      <c r="F14" s="44">
        <f>E14*0.19</f>
        <v>81126.2</v>
      </c>
      <c r="G14" s="45">
        <f>E14+F14</f>
        <v>508106.2</v>
      </c>
      <c r="H14" s="17">
        <f>IF(I14=TRUE(),E14,0)</f>
        <v>426980</v>
      </c>
      <c r="I14" t="b" s="18">
        <v>1</v>
      </c>
    </row>
    <row r="15" ht="18" customHeight="1">
      <c r="A15" s="37">
        <v>13</v>
      </c>
      <c r="B15" s="38">
        <v>42374</v>
      </c>
      <c r="C15" t="s" s="39">
        <v>775</v>
      </c>
      <c r="D15" t="s" s="39">
        <v>776</v>
      </c>
      <c r="E15" s="40">
        <v>399107</v>
      </c>
      <c r="F15" s="44">
        <f>E15*0.19</f>
        <v>75830.33</v>
      </c>
      <c r="G15" s="45">
        <f>E15+F15</f>
        <v>474937.33</v>
      </c>
      <c r="H15" s="17">
        <f>IF(I15=TRUE(),E15,0)</f>
        <v>399107</v>
      </c>
      <c r="I15" t="b" s="18">
        <v>1</v>
      </c>
    </row>
    <row r="16" ht="18" customHeight="1">
      <c r="A16" s="37">
        <v>14</v>
      </c>
      <c r="B16" s="38">
        <v>42374</v>
      </c>
      <c r="C16" t="s" s="39">
        <v>775</v>
      </c>
      <c r="D16" t="s" s="39">
        <v>776</v>
      </c>
      <c r="E16" s="40">
        <v>399532</v>
      </c>
      <c r="F16" s="44">
        <f>E16*0.19</f>
        <v>75911.08</v>
      </c>
      <c r="G16" s="45">
        <f>E16+F16</f>
        <v>475443.08</v>
      </c>
      <c r="H16" s="17">
        <f>IF(I16=TRUE(),E16,0)</f>
        <v>399532</v>
      </c>
      <c r="I16" t="b" s="18">
        <v>1</v>
      </c>
    </row>
    <row r="17" ht="18" customHeight="1">
      <c r="A17" s="37">
        <v>15</v>
      </c>
      <c r="B17" s="38">
        <v>42374</v>
      </c>
      <c r="C17" t="s" s="39">
        <v>777</v>
      </c>
      <c r="D17" s="42"/>
      <c r="E17" s="40">
        <v>373660</v>
      </c>
      <c r="F17" s="44">
        <f>E17*0.19</f>
        <v>70995.399999999994</v>
      </c>
      <c r="G17" s="45">
        <f>E17+F17</f>
        <v>444655.4</v>
      </c>
      <c r="H17" s="17">
        <f>IF(I17=TRUE(),E17,0)</f>
        <v>373660</v>
      </c>
      <c r="I17" t="b" s="18">
        <v>1</v>
      </c>
    </row>
    <row r="18" ht="18" customHeight="1">
      <c r="A18" s="37">
        <v>16</v>
      </c>
      <c r="B18" s="38">
        <v>42374</v>
      </c>
      <c r="C18" t="s" s="39">
        <v>778</v>
      </c>
      <c r="D18" t="s" s="39">
        <v>9</v>
      </c>
      <c r="E18" s="40">
        <v>212270</v>
      </c>
      <c r="F18" s="44">
        <f>E18*0.19</f>
        <v>40331.3</v>
      </c>
      <c r="G18" s="45">
        <f>E18+F18</f>
        <v>252601.3</v>
      </c>
      <c r="H18" s="17">
        <f>IF(I18=TRUE(),E18,0)</f>
        <v>212270</v>
      </c>
      <c r="I18" t="b" s="18">
        <v>1</v>
      </c>
    </row>
    <row r="19" ht="18" customHeight="1">
      <c r="A19" s="46">
        <v>17</v>
      </c>
      <c r="B19" s="47">
        <v>42374</v>
      </c>
      <c r="C19" t="s" s="48">
        <v>775</v>
      </c>
      <c r="D19" t="s" s="48">
        <v>776</v>
      </c>
      <c r="E19" s="49">
        <v>399107</v>
      </c>
      <c r="F19" s="44">
        <f>E19*0.19</f>
        <v>75830.33</v>
      </c>
      <c r="G19" s="45">
        <f>E19+F19</f>
        <v>474937.33</v>
      </c>
      <c r="H19" s="17">
        <f>IF(I19=TRUE(),E19,0)</f>
        <v>399107</v>
      </c>
      <c r="I19" t="b" s="18">
        <v>1</v>
      </c>
    </row>
    <row r="20" ht="18" customHeight="1">
      <c r="A20" s="18">
        <f>COUNT(A3:A19)</f>
        <v>17</v>
      </c>
      <c r="B20" t="s" s="50">
        <v>779</v>
      </c>
      <c r="C20" t="s" s="14">
        <v>7</v>
      </c>
      <c r="D20" s="14"/>
      <c r="E20" s="51">
        <f>SUM(E3:E19)</f>
        <v>12250851</v>
      </c>
      <c r="F20" s="51">
        <f>SUM(F3:F19)</f>
        <v>2327661.689999999</v>
      </c>
      <c r="G20" s="45">
        <f>SUM(G3:G19)</f>
        <v>14578512.69</v>
      </c>
      <c r="H20" s="17">
        <f>SUM(H3:H19)</f>
        <v>2617291</v>
      </c>
      <c r="I20" s="18">
        <f>COUNTIF(I3:I19,TRUE())</f>
        <v>7</v>
      </c>
    </row>
    <row r="21" ht="18" customHeight="1">
      <c r="A21" s="52"/>
      <c r="B21" s="53"/>
      <c r="C21" s="52"/>
      <c r="D21" s="52"/>
      <c r="E21" s="54"/>
      <c r="F21" s="44"/>
      <c r="G21" s="45"/>
      <c r="H21" s="17"/>
      <c r="I21" s="19"/>
    </row>
    <row r="22" ht="18" customHeight="1">
      <c r="A22" s="37">
        <v>18</v>
      </c>
      <c r="B22" s="38">
        <v>42409</v>
      </c>
      <c r="C22" t="s" s="39">
        <v>780</v>
      </c>
      <c r="D22" t="s" s="39">
        <v>781</v>
      </c>
      <c r="E22" s="40">
        <v>566989</v>
      </c>
      <c r="F22" s="44">
        <f>E22*0.19</f>
        <v>107727.91</v>
      </c>
      <c r="G22" s="45">
        <f>E22+F22</f>
        <v>674716.91</v>
      </c>
      <c r="H22" s="17">
        <f>IF(I22=TRUE(),E22,0)</f>
        <v>566989</v>
      </c>
      <c r="I22" t="b" s="18">
        <v>1</v>
      </c>
    </row>
    <row r="23" ht="18" customHeight="1">
      <c r="A23" s="37">
        <v>19</v>
      </c>
      <c r="B23" s="38">
        <v>42409</v>
      </c>
      <c r="C23" t="s" s="39">
        <v>780</v>
      </c>
      <c r="D23" t="s" s="39">
        <v>781</v>
      </c>
      <c r="E23" s="40">
        <v>546027</v>
      </c>
      <c r="F23" s="44">
        <f>E23*0.19</f>
        <v>103745.13</v>
      </c>
      <c r="G23" s="45">
        <f>E23+F23</f>
        <v>649772.13</v>
      </c>
      <c r="H23" s="17">
        <f>IF(I23=TRUE(),E23,0)</f>
        <v>546027</v>
      </c>
      <c r="I23" t="b" s="18">
        <v>1</v>
      </c>
    </row>
    <row r="24" ht="18" customHeight="1">
      <c r="A24" s="37">
        <v>20</v>
      </c>
      <c r="B24" s="38">
        <v>42409</v>
      </c>
      <c r="C24" t="s" s="39">
        <v>780</v>
      </c>
      <c r="D24" t="s" s="39">
        <v>781</v>
      </c>
      <c r="E24" s="40">
        <v>570153</v>
      </c>
      <c r="F24" s="44">
        <f>E24*0.19</f>
        <v>108329.07</v>
      </c>
      <c r="G24" s="45">
        <f>E24+F24</f>
        <v>678482.0700000001</v>
      </c>
      <c r="H24" s="17">
        <f>IF(I24=TRUE(),E24,0)</f>
        <v>570153</v>
      </c>
      <c r="I24" t="b" s="18">
        <v>1</v>
      </c>
    </row>
    <row r="25" ht="18" customHeight="1">
      <c r="A25" s="37">
        <v>21</v>
      </c>
      <c r="B25" s="38">
        <v>42409</v>
      </c>
      <c r="C25" t="s" s="39">
        <v>780</v>
      </c>
      <c r="D25" t="s" s="39">
        <v>781</v>
      </c>
      <c r="E25" s="40">
        <v>572561</v>
      </c>
      <c r="F25" s="44">
        <f>E25*0.19</f>
        <v>108786.59</v>
      </c>
      <c r="G25" s="45">
        <f>E25+F25</f>
        <v>681347.59</v>
      </c>
      <c r="H25" s="17">
        <f>IF(I25=TRUE(),E25,0)</f>
        <v>572561</v>
      </c>
      <c r="I25" t="b" s="18">
        <v>1</v>
      </c>
    </row>
    <row r="26" ht="18" customHeight="1">
      <c r="A26" s="37">
        <v>22</v>
      </c>
      <c r="B26" s="38">
        <v>42409</v>
      </c>
      <c r="C26" t="s" s="39">
        <v>780</v>
      </c>
      <c r="D26" t="s" s="39">
        <v>781</v>
      </c>
      <c r="E26" s="40">
        <v>590961</v>
      </c>
      <c r="F26" s="44">
        <f>E26*0.19</f>
        <v>112282.59</v>
      </c>
      <c r="G26" s="45">
        <f>E26+F26</f>
        <v>703243.59</v>
      </c>
      <c r="H26" s="17">
        <f>IF(I26=TRUE(),E26,0)</f>
        <v>590961</v>
      </c>
      <c r="I26" t="b" s="18">
        <v>1</v>
      </c>
    </row>
    <row r="27" ht="18" customHeight="1">
      <c r="A27" s="37">
        <v>23</v>
      </c>
      <c r="B27" s="38"/>
      <c r="C27" s="42"/>
      <c r="D27" s="42"/>
      <c r="E27" s="40"/>
      <c r="F27" s="44">
        <f>E27*0.19</f>
        <v>0</v>
      </c>
      <c r="G27" s="45">
        <f>E27+F27</f>
        <v>0</v>
      </c>
      <c r="H27" s="17">
        <f>IF(I27=TRUE(),E27,0)</f>
        <v>0</v>
      </c>
      <c r="I27" t="b" s="18">
        <v>1</v>
      </c>
    </row>
    <row r="28" ht="18" customHeight="1">
      <c r="A28" s="37">
        <v>24</v>
      </c>
      <c r="B28" s="38">
        <v>42409</v>
      </c>
      <c r="C28" t="s" s="39">
        <v>780</v>
      </c>
      <c r="D28" t="s" s="39">
        <v>781</v>
      </c>
      <c r="E28" s="40">
        <v>590961</v>
      </c>
      <c r="F28" s="44">
        <f>E28*0.19</f>
        <v>112282.59</v>
      </c>
      <c r="G28" s="45">
        <f>E28+F28</f>
        <v>703243.59</v>
      </c>
      <c r="H28" s="17">
        <f>IF(I28=TRUE(),E28,0)</f>
        <v>590961</v>
      </c>
      <c r="I28" t="b" s="18">
        <v>1</v>
      </c>
    </row>
    <row r="29" ht="18" customHeight="1">
      <c r="A29" s="37">
        <v>25</v>
      </c>
      <c r="B29" s="38">
        <v>42409</v>
      </c>
      <c r="C29" t="s" s="39">
        <v>782</v>
      </c>
      <c r="D29" t="s" s="39">
        <v>9</v>
      </c>
      <c r="E29" s="40">
        <v>342720</v>
      </c>
      <c r="F29" s="44">
        <f>E29*0.19</f>
        <v>65116.8</v>
      </c>
      <c r="G29" s="45">
        <f>E29+F29</f>
        <v>407836.8</v>
      </c>
      <c r="H29" s="17">
        <f>IF(I29=TRUE(),E29,0)</f>
        <v>342720</v>
      </c>
      <c r="I29" t="b" s="18">
        <v>1</v>
      </c>
    </row>
    <row r="30" ht="18" customHeight="1">
      <c r="A30" s="37">
        <v>26</v>
      </c>
      <c r="B30" s="38">
        <v>42409</v>
      </c>
      <c r="C30" t="s" s="39">
        <v>783</v>
      </c>
      <c r="D30" t="s" s="39">
        <v>9</v>
      </c>
      <c r="E30" s="40">
        <v>514080</v>
      </c>
      <c r="F30" s="44">
        <f>E30*0.19</f>
        <v>97675.2</v>
      </c>
      <c r="G30" s="45">
        <f>E30+F30</f>
        <v>611755.2</v>
      </c>
      <c r="H30" s="17">
        <f>IF(I30=TRUE(),E30,0)</f>
        <v>514080</v>
      </c>
      <c r="I30" t="b" s="18">
        <v>1</v>
      </c>
    </row>
    <row r="31" ht="18" customHeight="1">
      <c r="A31" s="37">
        <v>27</v>
      </c>
      <c r="B31" s="38">
        <v>42409</v>
      </c>
      <c r="C31" t="s" s="39">
        <v>784</v>
      </c>
      <c r="D31" t="s" s="39">
        <v>9</v>
      </c>
      <c r="E31" s="40">
        <v>456960</v>
      </c>
      <c r="F31" s="44">
        <f>E31*0.19</f>
        <v>86822.399999999994</v>
      </c>
      <c r="G31" s="45">
        <f>E31+F31</f>
        <v>543782.4</v>
      </c>
      <c r="H31" s="17">
        <f>IF(I31=TRUE(),E31,0)</f>
        <v>456960</v>
      </c>
      <c r="I31" t="b" s="18">
        <v>1</v>
      </c>
    </row>
    <row r="32" ht="18" customHeight="1">
      <c r="A32" s="37">
        <v>28</v>
      </c>
      <c r="B32" s="38">
        <v>42401</v>
      </c>
      <c r="C32" t="s" s="39">
        <v>785</v>
      </c>
      <c r="D32" t="s" s="39">
        <v>786</v>
      </c>
      <c r="E32" s="40">
        <v>3742550</v>
      </c>
      <c r="F32" s="44">
        <f>E32*0.19</f>
        <v>711084.5</v>
      </c>
      <c r="G32" s="45">
        <f>E32+F32</f>
        <v>4453634.5</v>
      </c>
      <c r="H32" s="17">
        <f>IF(I32=TRUE(),E32,0)</f>
        <v>0</v>
      </c>
      <c r="I32" t="b" s="18">
        <v>0</v>
      </c>
    </row>
    <row r="33" ht="18" customHeight="1">
      <c r="A33" s="37">
        <v>29</v>
      </c>
      <c r="B33" s="38">
        <v>42415</v>
      </c>
      <c r="C33" t="s" s="39">
        <v>787</v>
      </c>
      <c r="D33" t="s" s="39">
        <v>788</v>
      </c>
      <c r="E33" s="40">
        <v>121994</v>
      </c>
      <c r="F33" s="44">
        <f>E33*0.19</f>
        <v>23178.86</v>
      </c>
      <c r="G33" s="45">
        <f>E33+F33</f>
        <v>145172.86</v>
      </c>
      <c r="H33" s="17">
        <f>IF(I33=TRUE(),E33,0)</f>
        <v>121994</v>
      </c>
      <c r="I33" t="b" s="18">
        <v>1</v>
      </c>
    </row>
    <row r="34" ht="18" customHeight="1">
      <c r="A34" s="37">
        <v>30</v>
      </c>
      <c r="B34" s="38">
        <v>42415</v>
      </c>
      <c r="C34" t="s" s="39">
        <v>778</v>
      </c>
      <c r="D34" t="s" s="39">
        <v>789</v>
      </c>
      <c r="E34" s="40">
        <v>35683</v>
      </c>
      <c r="F34" s="44">
        <f>E34*0.19</f>
        <v>6779.77</v>
      </c>
      <c r="G34" s="45">
        <f>E34+F34</f>
        <v>42462.77</v>
      </c>
      <c r="H34" s="17">
        <f>IF(I34=TRUE(),E34,0)</f>
        <v>35683</v>
      </c>
      <c r="I34" t="b" s="18">
        <v>1</v>
      </c>
    </row>
    <row r="35" ht="18" customHeight="1">
      <c r="A35" s="37">
        <v>31</v>
      </c>
      <c r="B35" s="38">
        <v>42415</v>
      </c>
      <c r="C35" t="s" s="39">
        <v>790</v>
      </c>
      <c r="D35" t="s" s="39">
        <v>791</v>
      </c>
      <c r="E35" s="40">
        <v>190400</v>
      </c>
      <c r="F35" s="44">
        <f>E35*0.19</f>
        <v>36176</v>
      </c>
      <c r="G35" s="45">
        <f>E35+F35</f>
        <v>226576</v>
      </c>
      <c r="H35" s="17">
        <f>IF(I35=TRUE(),E35,0)</f>
        <v>0</v>
      </c>
      <c r="I35" t="b" s="18">
        <v>0</v>
      </c>
    </row>
    <row r="36" ht="18" customHeight="1">
      <c r="A36" s="37">
        <v>32</v>
      </c>
      <c r="B36" s="38">
        <v>42416</v>
      </c>
      <c r="C36" t="s" s="39">
        <v>778</v>
      </c>
      <c r="D36" t="s" s="39">
        <v>792</v>
      </c>
      <c r="E36" s="40">
        <v>38675</v>
      </c>
      <c r="F36" s="44">
        <f>E36*0.19</f>
        <v>7348.25</v>
      </c>
      <c r="G36" s="45">
        <f>E36+F36</f>
        <v>46023.25</v>
      </c>
      <c r="H36" s="17">
        <f>IF(I36=TRUE(),E36,0)</f>
        <v>0</v>
      </c>
      <c r="I36" t="b" s="18">
        <v>0</v>
      </c>
    </row>
    <row r="37" ht="18" customHeight="1">
      <c r="A37" s="37">
        <v>33</v>
      </c>
      <c r="B37" s="38">
        <v>42422</v>
      </c>
      <c r="C37" t="s" s="39">
        <v>793</v>
      </c>
      <c r="D37" t="s" s="39">
        <v>794</v>
      </c>
      <c r="E37" s="40">
        <v>178764</v>
      </c>
      <c r="F37" s="44">
        <f>E37*0.19</f>
        <v>33965.16</v>
      </c>
      <c r="G37" s="45">
        <f>E37+F37</f>
        <v>212729.16</v>
      </c>
      <c r="H37" s="17">
        <f>IF(I37=TRUE(),E37,0)</f>
        <v>178764</v>
      </c>
      <c r="I37" t="b" s="18">
        <v>1</v>
      </c>
    </row>
    <row r="38" ht="18" customHeight="1">
      <c r="A38" s="37">
        <v>34</v>
      </c>
      <c r="B38" s="38">
        <v>42425</v>
      </c>
      <c r="C38" t="s" s="39">
        <v>795</v>
      </c>
      <c r="D38" t="s" s="39">
        <v>9</v>
      </c>
      <c r="E38" s="40">
        <v>304986</v>
      </c>
      <c r="F38" s="44">
        <f>E38*0.19</f>
        <v>57947.34</v>
      </c>
      <c r="G38" s="45">
        <f>E38+F38</f>
        <v>362933.34</v>
      </c>
      <c r="H38" s="17">
        <f>IF(I38=TRUE(),E38,0)</f>
        <v>304986</v>
      </c>
      <c r="I38" t="b" s="18">
        <v>1</v>
      </c>
    </row>
    <row r="39" ht="18" customHeight="1">
      <c r="A39" s="37">
        <v>35</v>
      </c>
      <c r="B39" s="38">
        <v>42401</v>
      </c>
      <c r="C39" t="s" s="39">
        <v>796</v>
      </c>
      <c r="D39" t="s" s="39">
        <v>9</v>
      </c>
      <c r="E39" s="40">
        <v>622171</v>
      </c>
      <c r="F39" s="44">
        <f>E39*0.19</f>
        <v>118212.49</v>
      </c>
      <c r="G39" s="45">
        <f>E39+F39</f>
        <v>740383.49</v>
      </c>
      <c r="H39" s="17">
        <f>IF(I39=TRUE(),E39,0)</f>
        <v>622171</v>
      </c>
      <c r="I39" t="b" s="18">
        <v>1</v>
      </c>
    </row>
    <row r="40" ht="18" customHeight="1">
      <c r="A40" s="37">
        <v>36</v>
      </c>
      <c r="B40" s="38">
        <v>42061</v>
      </c>
      <c r="C40" t="s" s="39">
        <v>771</v>
      </c>
      <c r="D40" t="s" s="39">
        <v>797</v>
      </c>
      <c r="E40" s="40">
        <v>488788</v>
      </c>
      <c r="F40" s="44">
        <f>E40*0.19</f>
        <v>92869.72</v>
      </c>
      <c r="G40" s="45">
        <f>E40+F40</f>
        <v>581657.72</v>
      </c>
      <c r="H40" s="17">
        <f>IF(I40=TRUE(),E40,0)</f>
        <v>488788</v>
      </c>
      <c r="I40" t="b" s="18">
        <v>1</v>
      </c>
    </row>
    <row r="41" ht="18" customHeight="1">
      <c r="A41" s="37">
        <v>37</v>
      </c>
      <c r="B41" s="38">
        <v>42415</v>
      </c>
      <c r="C41" t="s" s="39">
        <v>777</v>
      </c>
      <c r="D41" t="s" s="39">
        <v>798</v>
      </c>
      <c r="E41" s="40">
        <v>378420</v>
      </c>
      <c r="F41" s="44">
        <f>E41*0.19</f>
        <v>71899.8</v>
      </c>
      <c r="G41" s="45">
        <f>E41+F41</f>
        <v>450319.8</v>
      </c>
      <c r="H41" s="17">
        <f>IF(I41=TRUE(),E41,0)</f>
        <v>0</v>
      </c>
      <c r="I41" t="b" s="18">
        <v>0</v>
      </c>
    </row>
    <row r="42" ht="18" customHeight="1">
      <c r="A42" s="37">
        <v>38</v>
      </c>
      <c r="B42" s="38">
        <v>42415</v>
      </c>
      <c r="C42" t="s" s="39">
        <v>777</v>
      </c>
      <c r="D42" t="s" s="39">
        <v>799</v>
      </c>
      <c r="E42" s="40">
        <v>506940</v>
      </c>
      <c r="F42" s="44">
        <f>E42*0.19</f>
        <v>96318.600000000006</v>
      </c>
      <c r="G42" s="45">
        <f>E42+F42</f>
        <v>603258.6</v>
      </c>
      <c r="H42" s="17">
        <f>IF(I42=TRUE(),E42,0)</f>
        <v>0</v>
      </c>
      <c r="I42" t="b" s="18">
        <v>0</v>
      </c>
    </row>
    <row r="43" ht="18" customHeight="1">
      <c r="A43" s="37">
        <v>39</v>
      </c>
      <c r="B43" s="38">
        <v>42426</v>
      </c>
      <c r="C43" t="s" s="39">
        <v>785</v>
      </c>
      <c r="D43" t="s" s="39">
        <v>800</v>
      </c>
      <c r="E43" s="40">
        <v>292740</v>
      </c>
      <c r="F43" s="44">
        <f>E43*0.19</f>
        <v>55620.6</v>
      </c>
      <c r="G43" s="45">
        <f>E43+F43</f>
        <v>348360.6</v>
      </c>
      <c r="H43" s="17">
        <f>IF(I43=TRUE(),E43,0)</f>
        <v>0</v>
      </c>
      <c r="I43" t="b" s="18">
        <v>0</v>
      </c>
    </row>
    <row r="44" ht="18" customHeight="1">
      <c r="A44" s="37">
        <v>40</v>
      </c>
      <c r="B44" s="38"/>
      <c r="C44" t="s" s="39">
        <v>778</v>
      </c>
      <c r="D44" t="s" s="39">
        <v>801</v>
      </c>
      <c r="E44" s="40">
        <v>77350</v>
      </c>
      <c r="F44" s="44">
        <f>E44*0.19</f>
        <v>14696.5</v>
      </c>
      <c r="G44" s="45">
        <f>E44+F44</f>
        <v>92046.5</v>
      </c>
      <c r="H44" s="17">
        <f>IF(I44=TRUE(),E44,0)</f>
        <v>0</v>
      </c>
      <c r="I44" t="b" s="18">
        <v>0</v>
      </c>
    </row>
    <row r="45" ht="18" customHeight="1">
      <c r="A45" s="37">
        <v>41</v>
      </c>
      <c r="B45" s="55"/>
      <c r="C45" t="s" s="39">
        <v>777</v>
      </c>
      <c r="D45" s="55"/>
      <c r="E45" s="40">
        <v>887907</v>
      </c>
      <c r="F45" s="44">
        <f>E45*0.19</f>
        <v>168702.33</v>
      </c>
      <c r="G45" s="45">
        <f>E45+F45</f>
        <v>1056609.33</v>
      </c>
      <c r="H45" s="17">
        <f>IF(I45=TRUE(),E45,0)</f>
        <v>0</v>
      </c>
      <c r="I45" t="b" s="18">
        <v>0</v>
      </c>
    </row>
    <row r="46" ht="18" customHeight="1">
      <c r="A46" s="37">
        <v>2</v>
      </c>
      <c r="B46" s="38"/>
      <c r="C46" t="s" s="39">
        <v>802</v>
      </c>
      <c r="D46" s="42"/>
      <c r="E46" s="40">
        <v>-887907</v>
      </c>
      <c r="F46" s="44">
        <f>E46*0.19</f>
        <v>-168702.33</v>
      </c>
      <c r="G46" s="45">
        <f>E46+F46</f>
        <v>-1056609.33</v>
      </c>
      <c r="H46" s="17">
        <f>IF(I46=TRUE(),E46,0)</f>
        <v>0</v>
      </c>
      <c r="I46" t="b" s="18">
        <v>0</v>
      </c>
    </row>
    <row r="47" ht="18" customHeight="1">
      <c r="A47" s="37">
        <v>42</v>
      </c>
      <c r="B47" s="38">
        <v>42429</v>
      </c>
      <c r="C47" t="s" s="39">
        <v>777</v>
      </c>
      <c r="D47" s="42"/>
      <c r="E47" s="40">
        <v>300214</v>
      </c>
      <c r="F47" s="44">
        <f>E47*0.19</f>
        <v>57040.66</v>
      </c>
      <c r="G47" s="45">
        <f>E47+F47</f>
        <v>357254.66</v>
      </c>
      <c r="H47" s="17">
        <f>IF(I47=TRUE(),E47,0)</f>
        <v>0</v>
      </c>
      <c r="I47" t="b" s="18">
        <v>0</v>
      </c>
    </row>
    <row r="48" ht="18" customHeight="1">
      <c r="A48" s="37">
        <v>3</v>
      </c>
      <c r="B48" s="38"/>
      <c r="C48" t="s" s="39">
        <v>803</v>
      </c>
      <c r="D48" s="42"/>
      <c r="E48" s="40">
        <v>-300214</v>
      </c>
      <c r="F48" s="44">
        <f>E48*0.19</f>
        <v>-57040.66</v>
      </c>
      <c r="G48" s="45">
        <f>E48+F48</f>
        <v>-357254.66</v>
      </c>
      <c r="H48" s="17">
        <f>IF(I48=TRUE(),E48,0)</f>
        <v>0</v>
      </c>
      <c r="I48" t="b" s="18">
        <v>0</v>
      </c>
    </row>
    <row r="49" ht="18" customHeight="1">
      <c r="A49" s="37">
        <v>43</v>
      </c>
      <c r="B49" s="38">
        <v>42429</v>
      </c>
      <c r="C49" t="s" s="39">
        <v>777</v>
      </c>
      <c r="D49" s="42"/>
      <c r="E49" s="40">
        <v>72778</v>
      </c>
      <c r="F49" s="44">
        <f>E49*0.19</f>
        <v>13827.82</v>
      </c>
      <c r="G49" s="45">
        <f>E49+F49</f>
        <v>86605.820000000007</v>
      </c>
      <c r="H49" s="17">
        <f>IF(I49=TRUE(),E49,0)</f>
        <v>0</v>
      </c>
      <c r="I49" t="b" s="18">
        <v>0</v>
      </c>
    </row>
    <row r="50" ht="18" customHeight="1">
      <c r="A50" s="37">
        <v>4</v>
      </c>
      <c r="B50" s="38"/>
      <c r="C50" t="s" s="39">
        <v>804</v>
      </c>
      <c r="D50" s="42"/>
      <c r="E50" s="40">
        <v>-72778</v>
      </c>
      <c r="F50" s="44">
        <f>E50*0.19</f>
        <v>-13827.82</v>
      </c>
      <c r="G50" s="45">
        <f>E50+F50</f>
        <v>-86605.820000000007</v>
      </c>
      <c r="H50" s="17">
        <f>IF(I50=TRUE(),E50,0)</f>
        <v>0</v>
      </c>
      <c r="I50" t="b" s="18">
        <v>0</v>
      </c>
    </row>
    <row r="51" ht="18" customHeight="1">
      <c r="A51" s="37">
        <v>44</v>
      </c>
      <c r="B51" s="38">
        <v>42429</v>
      </c>
      <c r="C51" t="s" s="39">
        <v>777</v>
      </c>
      <c r="D51" t="s" s="39">
        <v>798</v>
      </c>
      <c r="E51" s="40">
        <v>190400</v>
      </c>
      <c r="F51" s="44">
        <f>E51*0.19</f>
        <v>36176</v>
      </c>
      <c r="G51" s="45">
        <f>E51+F51</f>
        <v>226576</v>
      </c>
      <c r="H51" s="17">
        <f>IF(I51=TRUE(),E51,0)</f>
        <v>0</v>
      </c>
      <c r="I51" t="b" s="18">
        <v>0</v>
      </c>
    </row>
    <row r="52" ht="18" customHeight="1">
      <c r="A52" s="37">
        <v>45</v>
      </c>
      <c r="B52" s="38">
        <v>42429</v>
      </c>
      <c r="C52" t="s" s="39">
        <v>777</v>
      </c>
      <c r="D52" s="42"/>
      <c r="E52" s="40">
        <v>552656</v>
      </c>
      <c r="F52" s="44">
        <f>E52*0.19</f>
        <v>105004.64</v>
      </c>
      <c r="G52" s="45">
        <f>E52+F52</f>
        <v>657660.64</v>
      </c>
      <c r="H52" s="17">
        <f>IF(I52=TRUE(),E52,0)</f>
        <v>0</v>
      </c>
      <c r="I52" t="b" s="18">
        <v>0</v>
      </c>
    </row>
    <row r="53" ht="18" customHeight="1">
      <c r="A53" s="37">
        <v>5</v>
      </c>
      <c r="B53" s="38"/>
      <c r="C53" t="s" s="39">
        <v>805</v>
      </c>
      <c r="D53" s="42"/>
      <c r="E53" s="40">
        <v>-552656</v>
      </c>
      <c r="F53" s="44">
        <f>E53*0.19</f>
        <v>-105004.64</v>
      </c>
      <c r="G53" s="45">
        <f>E53+F53</f>
        <v>-657660.64</v>
      </c>
      <c r="H53" s="17">
        <f>IF(I53=TRUE(),E53,0)</f>
        <v>0</v>
      </c>
      <c r="I53" t="b" s="18">
        <v>0</v>
      </c>
    </row>
    <row r="54" ht="18" customHeight="1">
      <c r="A54" s="37">
        <v>46</v>
      </c>
      <c r="B54" s="38">
        <v>42429</v>
      </c>
      <c r="C54" t="s" s="39">
        <v>777</v>
      </c>
      <c r="D54" t="s" s="39">
        <v>806</v>
      </c>
      <c r="E54" s="40">
        <v>297350</v>
      </c>
      <c r="F54" s="44">
        <f>E54*0.19</f>
        <v>56496.5</v>
      </c>
      <c r="G54" s="45">
        <f>E54+F54</f>
        <v>353846.5</v>
      </c>
      <c r="H54" s="17">
        <f>IF(I54=TRUE(),E54,0)</f>
        <v>297350</v>
      </c>
      <c r="I54" t="b" s="18">
        <v>1</v>
      </c>
    </row>
    <row r="55" ht="18" customHeight="1">
      <c r="A55" s="37">
        <v>47</v>
      </c>
      <c r="B55" s="38">
        <v>42429</v>
      </c>
      <c r="C55" t="s" s="39">
        <v>777</v>
      </c>
      <c r="D55" t="s" s="39">
        <v>807</v>
      </c>
      <c r="E55" s="40">
        <v>100538</v>
      </c>
      <c r="F55" s="44">
        <f>E55*0.19</f>
        <v>19102.22</v>
      </c>
      <c r="G55" s="45">
        <f>E55+F55</f>
        <v>119640.22</v>
      </c>
      <c r="H55" s="17">
        <f>IF(I55=TRUE(),E55,0)</f>
        <v>100538</v>
      </c>
      <c r="I55" t="b" s="18">
        <v>1</v>
      </c>
    </row>
    <row r="56" ht="18" customHeight="1">
      <c r="A56" s="37">
        <v>48</v>
      </c>
      <c r="B56" s="38">
        <v>42429</v>
      </c>
      <c r="C56" t="s" s="39">
        <v>777</v>
      </c>
      <c r="D56" t="s" s="39">
        <v>808</v>
      </c>
      <c r="E56" s="40">
        <v>24372</v>
      </c>
      <c r="F56" s="44">
        <f>E56*0.19</f>
        <v>4630.68</v>
      </c>
      <c r="G56" s="45">
        <f>E56+F56</f>
        <v>29002.68</v>
      </c>
      <c r="H56" s="17">
        <f>IF(I56=TRUE(),E56,0)</f>
        <v>24372</v>
      </c>
      <c r="I56" t="b" s="18">
        <v>1</v>
      </c>
    </row>
    <row r="57" ht="18" customHeight="1">
      <c r="A57" s="37">
        <v>49</v>
      </c>
      <c r="B57" s="38">
        <v>42429</v>
      </c>
      <c r="C57" t="s" s="39">
        <v>777</v>
      </c>
      <c r="D57" t="s" s="39">
        <v>808</v>
      </c>
      <c r="E57" s="40">
        <v>464596</v>
      </c>
      <c r="F57" s="44">
        <f>E57*0.19</f>
        <v>88273.240000000005</v>
      </c>
      <c r="G57" s="45">
        <f>E57+F57</f>
        <v>552869.24</v>
      </c>
      <c r="H57" s="17">
        <f>IF(I57=TRUE(),E57,0)</f>
        <v>464596</v>
      </c>
      <c r="I57" t="b" s="18">
        <v>1</v>
      </c>
    </row>
    <row r="58" ht="18" customHeight="1">
      <c r="A58" s="46">
        <v>50</v>
      </c>
      <c r="B58" s="47">
        <v>42429</v>
      </c>
      <c r="C58" t="s" s="48">
        <v>796</v>
      </c>
      <c r="D58" t="s" s="48">
        <v>809</v>
      </c>
      <c r="E58" s="49">
        <v>930342</v>
      </c>
      <c r="F58" s="44">
        <f>E58*0.19</f>
        <v>176764.98</v>
      </c>
      <c r="G58" s="45">
        <f>E58+F58</f>
        <v>1107106.98</v>
      </c>
      <c r="H58" s="17">
        <f>IF(I58=TRUE(),E58,0)</f>
        <v>0</v>
      </c>
      <c r="I58" t="b" s="18">
        <v>0</v>
      </c>
    </row>
    <row r="59" ht="18" customHeight="1">
      <c r="A59" s="18">
        <f>COUNT(A22:A58)</f>
        <v>37</v>
      </c>
      <c r="B59" t="s" s="50">
        <v>810</v>
      </c>
      <c r="C59" t="s" s="14">
        <v>7</v>
      </c>
      <c r="D59" s="14"/>
      <c r="E59" s="51">
        <f>SUM(E22:E58)</f>
        <v>13738471</v>
      </c>
      <c r="F59" s="51">
        <f>SUM(F22:F58)</f>
        <v>2610309.490000001</v>
      </c>
      <c r="G59" s="45">
        <f>SUM(G22:G58)</f>
        <v>16348780.49</v>
      </c>
      <c r="H59" s="17">
        <f>SUM(H22:H58)</f>
        <v>7390654</v>
      </c>
      <c r="I59" s="18">
        <f>COUNTIF(I22:I58,TRUE())</f>
        <v>20</v>
      </c>
    </row>
    <row r="60" ht="18" customHeight="1">
      <c r="A60" s="52"/>
      <c r="B60" s="53"/>
      <c r="C60" s="52"/>
      <c r="D60" s="52"/>
      <c r="E60" s="54"/>
      <c r="F60" s="44"/>
      <c r="G60" s="45"/>
      <c r="H60" s="17"/>
      <c r="I60" s="19"/>
    </row>
    <row r="61" ht="18" customHeight="1">
      <c r="A61" s="37">
        <v>51</v>
      </c>
      <c r="B61" s="38">
        <v>42439</v>
      </c>
      <c r="C61" t="s" s="39">
        <v>811</v>
      </c>
      <c r="D61" t="s" s="39">
        <v>812</v>
      </c>
      <c r="E61" s="40">
        <v>345100</v>
      </c>
      <c r="F61" s="44">
        <f>E61*0.19</f>
        <v>65569</v>
      </c>
      <c r="G61" s="45">
        <f>E61+F61</f>
        <v>410669</v>
      </c>
      <c r="H61" s="17">
        <f>IF(I61=TRUE(),E61,0)</f>
        <v>0</v>
      </c>
      <c r="I61" t="b" s="18">
        <v>0</v>
      </c>
    </row>
    <row r="62" ht="18" customHeight="1">
      <c r="A62" s="37">
        <v>52</v>
      </c>
      <c r="B62" s="38">
        <v>42447</v>
      </c>
      <c r="C62" t="s" s="39">
        <v>813</v>
      </c>
      <c r="D62" t="s" s="39">
        <v>814</v>
      </c>
      <c r="E62" s="40">
        <v>1362688</v>
      </c>
      <c r="F62" s="44">
        <f>E62*0.19</f>
        <v>258910.72</v>
      </c>
      <c r="G62" s="45">
        <f>E62+F62</f>
        <v>1621598.72</v>
      </c>
      <c r="H62" s="17">
        <f>IF(I62=TRUE(),E62,0)</f>
        <v>0</v>
      </c>
      <c r="I62" t="b" s="18">
        <v>0</v>
      </c>
    </row>
    <row r="63" ht="18" customHeight="1">
      <c r="A63" s="37">
        <v>53</v>
      </c>
      <c r="B63" s="38">
        <v>42430</v>
      </c>
      <c r="C63" t="s" s="39">
        <v>775</v>
      </c>
      <c r="D63" t="s" s="39">
        <v>9</v>
      </c>
      <c r="E63" s="40">
        <v>400978</v>
      </c>
      <c r="F63" s="44">
        <f>E63*0.19</f>
        <v>76185.820000000007</v>
      </c>
      <c r="G63" s="45">
        <f>E63+F63</f>
        <v>477163.82</v>
      </c>
      <c r="H63" s="17">
        <f>IF(I63=TRUE(),E63,0)</f>
        <v>400978</v>
      </c>
      <c r="I63" t="b" s="18">
        <v>1</v>
      </c>
    </row>
    <row r="64" ht="18" customHeight="1">
      <c r="A64" s="37">
        <v>54</v>
      </c>
      <c r="B64" s="38">
        <v>42430</v>
      </c>
      <c r="C64" t="s" s="39">
        <v>775</v>
      </c>
      <c r="D64" t="s" s="39">
        <v>815</v>
      </c>
      <c r="E64" s="40">
        <v>110193</v>
      </c>
      <c r="F64" s="44">
        <f>E64*0.19</f>
        <v>20936.67</v>
      </c>
      <c r="G64" s="45">
        <f>E64+F64</f>
        <v>131129.67</v>
      </c>
      <c r="H64" s="17">
        <f>IF(I64=TRUE(),E64,0)</f>
        <v>0</v>
      </c>
      <c r="I64" t="b" s="18">
        <v>0</v>
      </c>
    </row>
    <row r="65" ht="18" customHeight="1">
      <c r="A65" s="37">
        <v>55</v>
      </c>
      <c r="B65" s="38">
        <v>42433</v>
      </c>
      <c r="C65" t="s" s="39">
        <v>777</v>
      </c>
      <c r="D65" t="s" s="39">
        <v>816</v>
      </c>
      <c r="E65" s="40">
        <v>686987</v>
      </c>
      <c r="F65" s="44">
        <f>E65*0.19</f>
        <v>130527.53</v>
      </c>
      <c r="G65" s="45">
        <f>E65+F65</f>
        <v>817514.53</v>
      </c>
      <c r="H65" s="17">
        <f>IF(I65=TRUE(),E65,0)</f>
        <v>0</v>
      </c>
      <c r="I65" t="b" s="18">
        <v>0</v>
      </c>
    </row>
    <row r="66" ht="18" customHeight="1">
      <c r="A66" s="37">
        <v>56</v>
      </c>
      <c r="B66" s="38">
        <v>42457</v>
      </c>
      <c r="C66" t="s" s="39">
        <v>817</v>
      </c>
      <c r="D66" t="s" s="39">
        <v>818</v>
      </c>
      <c r="E66" s="40">
        <v>57120</v>
      </c>
      <c r="F66" s="44">
        <f>E66*0.19</f>
        <v>10852.8</v>
      </c>
      <c r="G66" s="45">
        <f>E66+F66</f>
        <v>67972.8</v>
      </c>
      <c r="H66" s="17">
        <f>IF(I66=TRUE(),E66,0)</f>
        <v>57120</v>
      </c>
      <c r="I66" t="b" s="18">
        <v>1</v>
      </c>
    </row>
    <row r="67" ht="18" customHeight="1">
      <c r="A67" s="37">
        <v>57</v>
      </c>
      <c r="B67" s="38">
        <v>42457</v>
      </c>
      <c r="C67" t="s" s="39">
        <v>784</v>
      </c>
      <c r="D67" t="s" s="39">
        <v>819</v>
      </c>
      <c r="E67" s="40">
        <v>399840</v>
      </c>
      <c r="F67" s="44">
        <f>E67*0.19</f>
        <v>75969.600000000006</v>
      </c>
      <c r="G67" s="45">
        <f>E67+F67</f>
        <v>475809.6</v>
      </c>
      <c r="H67" s="17">
        <f>IF(I67=TRUE(),E67,0)</f>
        <v>399840</v>
      </c>
      <c r="I67" t="b" s="18">
        <v>1</v>
      </c>
    </row>
    <row r="68" ht="18" customHeight="1">
      <c r="A68" s="37">
        <v>58</v>
      </c>
      <c r="B68" s="38">
        <v>42457</v>
      </c>
      <c r="C68" t="s" s="39">
        <v>782</v>
      </c>
      <c r="D68" t="s" s="39">
        <v>820</v>
      </c>
      <c r="E68" s="40">
        <v>342720</v>
      </c>
      <c r="F68" s="44">
        <f>E68*0.19</f>
        <v>65116.8</v>
      </c>
      <c r="G68" s="45">
        <f>E68+F68</f>
        <v>407836.8</v>
      </c>
      <c r="H68" s="17">
        <f>IF(I68=TRUE(),E68,0)</f>
        <v>342720</v>
      </c>
      <c r="I68" t="b" s="18">
        <v>1</v>
      </c>
    </row>
    <row r="69" ht="18" customHeight="1">
      <c r="A69" s="37">
        <v>59</v>
      </c>
      <c r="B69" s="38">
        <v>42447</v>
      </c>
      <c r="C69" t="s" s="39">
        <v>783</v>
      </c>
      <c r="D69" t="s" s="39">
        <v>821</v>
      </c>
      <c r="E69" s="40">
        <v>399840</v>
      </c>
      <c r="F69" s="44">
        <f>E69*0.19</f>
        <v>75969.600000000006</v>
      </c>
      <c r="G69" s="45">
        <f>E69+F69</f>
        <v>475809.6</v>
      </c>
      <c r="H69" s="17">
        <f>IF(I69=TRUE(),E69,0)</f>
        <v>399840</v>
      </c>
      <c r="I69" t="b" s="18">
        <v>1</v>
      </c>
    </row>
    <row r="70" ht="18" customHeight="1">
      <c r="A70" s="37">
        <v>60</v>
      </c>
      <c r="B70" s="38">
        <v>42458</v>
      </c>
      <c r="C70" t="s" s="39">
        <v>822</v>
      </c>
      <c r="D70" t="s" s="39">
        <v>823</v>
      </c>
      <c r="E70" s="40">
        <v>595713</v>
      </c>
      <c r="F70" s="44">
        <f>E70*0.19</f>
        <v>113185.47</v>
      </c>
      <c r="G70" s="45">
        <f>E70+F70</f>
        <v>708898.47</v>
      </c>
      <c r="H70" s="17">
        <f>IF(I70=TRUE(),E70,0)</f>
        <v>595713</v>
      </c>
      <c r="I70" t="b" s="18">
        <v>1</v>
      </c>
    </row>
    <row r="71" ht="18" customHeight="1">
      <c r="A71" s="37">
        <v>61</v>
      </c>
      <c r="B71" s="38">
        <v>42458</v>
      </c>
      <c r="C71" t="s" s="39">
        <v>778</v>
      </c>
      <c r="D71" t="s" s="39">
        <v>9</v>
      </c>
      <c r="E71" s="40">
        <v>213039</v>
      </c>
      <c r="F71" s="44">
        <f>E71*0.19</f>
        <v>40477.41</v>
      </c>
      <c r="G71" s="45">
        <f>E71+F71</f>
        <v>253516.41</v>
      </c>
      <c r="H71" s="17">
        <f>IF(I71=TRUE(),E71,0)</f>
        <v>213039</v>
      </c>
      <c r="I71" t="b" s="18">
        <v>1</v>
      </c>
    </row>
    <row r="72" ht="18" customHeight="1">
      <c r="A72" s="46">
        <v>62</v>
      </c>
      <c r="B72" s="47">
        <v>42458</v>
      </c>
      <c r="C72" t="s" s="48">
        <v>773</v>
      </c>
      <c r="D72" t="s" s="48">
        <v>774</v>
      </c>
      <c r="E72" s="49">
        <v>428525</v>
      </c>
      <c r="F72" s="44">
        <f>E72*0.19</f>
        <v>81419.75</v>
      </c>
      <c r="G72" s="45">
        <f>E72+F72</f>
        <v>509944.75</v>
      </c>
      <c r="H72" s="17">
        <f>IF(I72=TRUE(),E72,0)</f>
        <v>428525</v>
      </c>
      <c r="I72" t="b" s="18">
        <v>1</v>
      </c>
    </row>
    <row r="73" ht="18" customHeight="1">
      <c r="A73" s="18">
        <f>COUNT(A61:A72)</f>
        <v>12</v>
      </c>
      <c r="B73" t="s" s="50">
        <v>824</v>
      </c>
      <c r="C73" t="s" s="14">
        <v>7</v>
      </c>
      <c r="D73" s="14"/>
      <c r="E73" s="51">
        <f>SUM(E61:E72)</f>
        <v>5342743</v>
      </c>
      <c r="F73" s="51">
        <f>SUM(F61:F72)</f>
        <v>1015121.17</v>
      </c>
      <c r="G73" s="45">
        <f>SUM(G61:G72)</f>
        <v>6357864.17</v>
      </c>
      <c r="H73" s="17">
        <f>SUM(H61:H72)</f>
        <v>2837775</v>
      </c>
      <c r="I73" s="18">
        <f>COUNTIF(I61:I72,TRUE())</f>
        <v>8</v>
      </c>
    </row>
    <row r="74" ht="18" customHeight="1">
      <c r="A74" s="52"/>
      <c r="B74" s="53"/>
      <c r="C74" s="52"/>
      <c r="D74" s="52"/>
      <c r="E74" s="54"/>
      <c r="F74" s="44"/>
      <c r="G74" s="45"/>
      <c r="H74" s="17"/>
      <c r="I74" s="19"/>
    </row>
    <row r="75" ht="18" customHeight="1">
      <c r="A75" s="37">
        <v>63</v>
      </c>
      <c r="B75" s="38">
        <v>42461</v>
      </c>
      <c r="C75" t="s" s="39">
        <v>793</v>
      </c>
      <c r="D75" t="s" s="39">
        <v>825</v>
      </c>
      <c r="E75" s="40">
        <v>269323</v>
      </c>
      <c r="F75" s="44">
        <f>E75*0.19</f>
        <v>51171.37</v>
      </c>
      <c r="G75" s="45">
        <f>E75+F75</f>
        <v>320494.37</v>
      </c>
      <c r="H75" s="17">
        <f>IF(I75=TRUE(),E75,0)</f>
        <v>269323</v>
      </c>
      <c r="I75" t="b" s="18">
        <v>1</v>
      </c>
    </row>
    <row r="76" ht="18" customHeight="1">
      <c r="A76" s="37">
        <v>64</v>
      </c>
      <c r="B76" s="38">
        <v>42461</v>
      </c>
      <c r="C76" t="s" s="39">
        <v>771</v>
      </c>
      <c r="D76" t="s" s="39">
        <v>826</v>
      </c>
      <c r="E76" s="40">
        <v>409060</v>
      </c>
      <c r="F76" s="44">
        <f>E76*0.19</f>
        <v>77721.399999999994</v>
      </c>
      <c r="G76" s="45">
        <f>E76+F76</f>
        <v>486781.4</v>
      </c>
      <c r="H76" s="17">
        <f>IF(I76=TRUE(),E76,0)</f>
        <v>409060</v>
      </c>
      <c r="I76" t="b" s="18">
        <v>1</v>
      </c>
    </row>
    <row r="77" ht="18" customHeight="1">
      <c r="A77" s="37">
        <v>65</v>
      </c>
      <c r="B77" s="38">
        <v>42461</v>
      </c>
      <c r="C77" t="s" s="39">
        <v>775</v>
      </c>
      <c r="D77" t="s" s="39">
        <v>827</v>
      </c>
      <c r="E77" s="40">
        <v>402423</v>
      </c>
      <c r="F77" s="44">
        <f>E77*0.19</f>
        <v>76460.37</v>
      </c>
      <c r="G77" s="45">
        <f>E77+F77</f>
        <v>478883.37</v>
      </c>
      <c r="H77" s="17">
        <f>IF(I77=TRUE(),E77,0)</f>
        <v>402423</v>
      </c>
      <c r="I77" t="b" s="18">
        <v>1</v>
      </c>
    </row>
    <row r="78" ht="18" customHeight="1">
      <c r="A78" s="37">
        <v>66</v>
      </c>
      <c r="B78" s="38">
        <v>42461</v>
      </c>
      <c r="C78" t="s" s="39">
        <v>822</v>
      </c>
      <c r="D78" t="s" s="39">
        <v>828</v>
      </c>
      <c r="E78" s="40">
        <v>149910</v>
      </c>
      <c r="F78" s="44">
        <f>E78*0.19</f>
        <v>28482.9</v>
      </c>
      <c r="G78" s="45">
        <f>E78+F78</f>
        <v>178392.9</v>
      </c>
      <c r="H78" s="17">
        <f>IF(I78=TRUE(),E78,0)</f>
        <v>149910</v>
      </c>
      <c r="I78" t="b" s="18">
        <v>1</v>
      </c>
    </row>
    <row r="79" ht="18" customHeight="1">
      <c r="A79" s="37">
        <v>67</v>
      </c>
      <c r="B79" s="38">
        <v>42461</v>
      </c>
      <c r="C79" t="s" s="39">
        <v>778</v>
      </c>
      <c r="D79" t="s" s="39">
        <v>828</v>
      </c>
      <c r="E79" s="40">
        <v>213806</v>
      </c>
      <c r="F79" s="44">
        <f>E79*0.19</f>
        <v>40623.14</v>
      </c>
      <c r="G79" s="45">
        <f>E79+F79</f>
        <v>254429.14</v>
      </c>
      <c r="H79" s="17">
        <f>IF(I79=TRUE(),E79,0)</f>
        <v>213806</v>
      </c>
      <c r="I79" t="b" s="18">
        <v>1</v>
      </c>
    </row>
    <row r="80" ht="18" customHeight="1">
      <c r="A80" s="37">
        <v>68</v>
      </c>
      <c r="B80" s="38"/>
      <c r="C80" s="42"/>
      <c r="D80" s="42"/>
      <c r="E80" s="40"/>
      <c r="F80" s="44">
        <f>E80*0.19</f>
        <v>0</v>
      </c>
      <c r="G80" s="45">
        <f>E80+F80</f>
        <v>0</v>
      </c>
      <c r="H80" s="17">
        <f>IF(I80=TRUE(),E80,0)</f>
        <v>0</v>
      </c>
      <c r="I80" t="b" s="18">
        <v>0</v>
      </c>
    </row>
    <row r="81" ht="18" customHeight="1">
      <c r="A81" s="37">
        <v>69</v>
      </c>
      <c r="B81" s="38">
        <v>42461</v>
      </c>
      <c r="C81" t="s" s="39">
        <v>777</v>
      </c>
      <c r="D81" t="s" s="39">
        <v>829</v>
      </c>
      <c r="E81" s="40">
        <v>1193897</v>
      </c>
      <c r="F81" s="44">
        <f>E81*0.19</f>
        <v>226840.43</v>
      </c>
      <c r="G81" s="45">
        <f>E81+F81</f>
        <v>1420737.43</v>
      </c>
      <c r="H81" s="17">
        <f>IF(I81=TRUE(),E81,0)</f>
        <v>1193897</v>
      </c>
      <c r="I81" t="b" s="18">
        <v>1</v>
      </c>
    </row>
    <row r="82" ht="18" customHeight="1">
      <c r="A82" s="37">
        <v>70</v>
      </c>
      <c r="B82" s="38">
        <v>42461</v>
      </c>
      <c r="C82" t="s" s="39">
        <v>777</v>
      </c>
      <c r="D82" t="s" s="39">
        <v>830</v>
      </c>
      <c r="E82" s="40">
        <v>403674</v>
      </c>
      <c r="F82" s="44">
        <f>E82*0.19</f>
        <v>76698.06</v>
      </c>
      <c r="G82" s="45">
        <f>E82+F82</f>
        <v>480372.06</v>
      </c>
      <c r="H82" s="17">
        <f>IF(I82=TRUE(),E82,0)</f>
        <v>403674</v>
      </c>
      <c r="I82" t="b" s="18">
        <v>1</v>
      </c>
    </row>
    <row r="83" ht="18" customHeight="1">
      <c r="A83" s="37">
        <v>71</v>
      </c>
      <c r="B83" s="38">
        <v>42461</v>
      </c>
      <c r="C83" t="s" s="39">
        <v>777</v>
      </c>
      <c r="D83" t="s" s="39">
        <v>831</v>
      </c>
      <c r="E83" s="40">
        <v>97860</v>
      </c>
      <c r="F83" s="44">
        <f>E83*0.19</f>
        <v>18593.4</v>
      </c>
      <c r="G83" s="45">
        <f>E83+F83</f>
        <v>116453.4</v>
      </c>
      <c r="H83" s="17">
        <f>IF(I83=TRUE(),E83,0)</f>
        <v>97860</v>
      </c>
      <c r="I83" t="b" s="18">
        <v>1</v>
      </c>
    </row>
    <row r="84" ht="18" customHeight="1">
      <c r="A84" s="37">
        <v>72</v>
      </c>
      <c r="B84" s="38">
        <v>42461</v>
      </c>
      <c r="C84" t="s" s="39">
        <v>793</v>
      </c>
      <c r="D84" t="s" s="39">
        <v>832</v>
      </c>
      <c r="E84" s="40">
        <v>90315</v>
      </c>
      <c r="F84" s="44">
        <f>E84*0.19</f>
        <v>17159.85</v>
      </c>
      <c r="G84" s="45">
        <f>E84+F84</f>
        <v>107474.85</v>
      </c>
      <c r="H84" s="17">
        <f>IF(I84=TRUE(),E84,0)</f>
        <v>90315</v>
      </c>
      <c r="I84" t="b" s="18">
        <v>1</v>
      </c>
    </row>
    <row r="85" ht="18" customHeight="1">
      <c r="A85" s="37">
        <v>73</v>
      </c>
      <c r="B85" s="38">
        <v>42461</v>
      </c>
      <c r="C85" t="s" s="39">
        <v>833</v>
      </c>
      <c r="D85" t="s" s="39">
        <v>834</v>
      </c>
      <c r="E85" s="40">
        <v>336142</v>
      </c>
      <c r="F85" s="44">
        <f>E85*0.19</f>
        <v>63866.98</v>
      </c>
      <c r="G85" s="45">
        <f>E85+F85</f>
        <v>400008.98</v>
      </c>
      <c r="H85" s="17">
        <f>IF(I85=TRUE(),E85,0)</f>
        <v>336142</v>
      </c>
      <c r="I85" t="b" s="18">
        <v>1</v>
      </c>
    </row>
    <row r="86" ht="18" customHeight="1">
      <c r="A86" s="37">
        <v>74</v>
      </c>
      <c r="B86" s="38">
        <v>42461</v>
      </c>
      <c r="C86" t="s" s="39">
        <v>833</v>
      </c>
      <c r="D86" t="s" s="39">
        <v>835</v>
      </c>
      <c r="E86" s="40">
        <v>202383</v>
      </c>
      <c r="F86" s="44">
        <f>E86*0.19</f>
        <v>38452.77</v>
      </c>
      <c r="G86" s="45">
        <f>E86+F86</f>
        <v>240835.77</v>
      </c>
      <c r="H86" s="17">
        <f>IF(I86=TRUE(),E86,0)</f>
        <v>202383</v>
      </c>
      <c r="I86" t="b" s="18">
        <v>1</v>
      </c>
    </row>
    <row r="87" ht="18" customHeight="1">
      <c r="A87" s="37">
        <v>75</v>
      </c>
      <c r="B87" s="38">
        <v>42061</v>
      </c>
      <c r="C87" t="s" s="39">
        <v>785</v>
      </c>
      <c r="D87" t="s" s="39">
        <v>836</v>
      </c>
      <c r="E87" s="40">
        <v>1850386</v>
      </c>
      <c r="F87" s="44">
        <f>E87*0.19</f>
        <v>351573.34</v>
      </c>
      <c r="G87" s="45">
        <f>E87+F87</f>
        <v>2201959.34</v>
      </c>
      <c r="H87" s="17">
        <f>IF(I87=TRUE(),E87,0)</f>
        <v>1850386</v>
      </c>
      <c r="I87" t="b" s="18">
        <v>1</v>
      </c>
    </row>
    <row r="88" ht="18" customHeight="1">
      <c r="A88" s="37">
        <v>76</v>
      </c>
      <c r="B88" s="38">
        <v>42461</v>
      </c>
      <c r="C88" t="s" s="39">
        <v>837</v>
      </c>
      <c r="D88" t="s" s="39">
        <v>838</v>
      </c>
      <c r="E88" s="40">
        <v>2078153</v>
      </c>
      <c r="F88" s="44">
        <f>E88*0.19</f>
        <v>394849.07</v>
      </c>
      <c r="G88" s="45">
        <f>E88+F88</f>
        <v>2473002.07</v>
      </c>
      <c r="H88" s="17">
        <f>IF(I88=TRUE(),E88,0)</f>
        <v>2078153</v>
      </c>
      <c r="I88" t="b" s="18">
        <v>1</v>
      </c>
    </row>
    <row r="89" ht="18" customHeight="1">
      <c r="A89" s="46">
        <v>77</v>
      </c>
      <c r="B89" s="47">
        <v>42461</v>
      </c>
      <c r="C89" t="s" s="48">
        <v>839</v>
      </c>
      <c r="D89" t="s" s="48">
        <v>838</v>
      </c>
      <c r="E89" s="49">
        <v>3630191</v>
      </c>
      <c r="F89" s="44">
        <f>E89*0.19</f>
        <v>689736.29</v>
      </c>
      <c r="G89" s="45">
        <f>E89+F89</f>
        <v>4319927.29</v>
      </c>
      <c r="H89" s="17">
        <f>IF(I89=TRUE(),E89,0)</f>
        <v>3630191</v>
      </c>
      <c r="I89" t="b" s="18">
        <v>1</v>
      </c>
    </row>
    <row r="90" ht="18" customHeight="1">
      <c r="A90" s="18">
        <f>COUNT(A75:A89)</f>
        <v>15</v>
      </c>
      <c r="B90" t="s" s="50">
        <v>840</v>
      </c>
      <c r="C90" t="s" s="14">
        <v>7</v>
      </c>
      <c r="D90" s="14"/>
      <c r="E90" s="51">
        <f>SUM(E75:E89)</f>
        <v>11327523</v>
      </c>
      <c r="F90" s="51">
        <f>SUM(F75:F89)</f>
        <v>2152229.37</v>
      </c>
      <c r="G90" s="45">
        <f>SUM(G75:G89)</f>
        <v>13479752.37</v>
      </c>
      <c r="H90" s="17">
        <f>SUM(H75:H89)</f>
        <v>11327523</v>
      </c>
      <c r="I90" s="18">
        <f>COUNTIF(I75:I89,TRUE())</f>
        <v>14</v>
      </c>
    </row>
    <row r="91" ht="18" customHeight="1">
      <c r="A91" s="52"/>
      <c r="B91" s="53"/>
      <c r="C91" s="52"/>
      <c r="D91" s="52"/>
      <c r="E91" s="54"/>
      <c r="F91" s="44"/>
      <c r="G91" s="45"/>
      <c r="H91" s="17"/>
      <c r="I91" s="19"/>
    </row>
    <row r="92" ht="18" customHeight="1">
      <c r="A92" s="37">
        <v>78</v>
      </c>
      <c r="B92" s="38">
        <v>42491</v>
      </c>
      <c r="C92" t="s" s="39">
        <v>775</v>
      </c>
      <c r="D92" t="s" s="39">
        <v>827</v>
      </c>
      <c r="E92" s="40">
        <v>403915</v>
      </c>
      <c r="F92" s="44">
        <f>E92*0.19</f>
        <v>76743.850000000006</v>
      </c>
      <c r="G92" s="45">
        <f>E92+F92</f>
        <v>480658.85</v>
      </c>
      <c r="H92" s="17">
        <f>IF(I92=TRUE(),E92,0)</f>
        <v>403915</v>
      </c>
      <c r="I92" t="b" s="18">
        <v>1</v>
      </c>
    </row>
    <row r="93" ht="18" customHeight="1">
      <c r="A93" s="37">
        <v>79</v>
      </c>
      <c r="B93" s="38">
        <v>42491</v>
      </c>
      <c r="C93" t="s" s="39">
        <v>822</v>
      </c>
      <c r="D93" t="s" s="39">
        <v>828</v>
      </c>
      <c r="E93" s="40">
        <v>150466</v>
      </c>
      <c r="F93" s="44">
        <f>E93*0.19</f>
        <v>28588.54</v>
      </c>
      <c r="G93" s="45">
        <f>E93+F93</f>
        <v>179054.54</v>
      </c>
      <c r="H93" s="17">
        <f>IF(I93=TRUE(),E93,0)</f>
        <v>150466</v>
      </c>
      <c r="I93" t="b" s="18">
        <v>1</v>
      </c>
    </row>
    <row r="94" ht="18" customHeight="1">
      <c r="A94" s="37">
        <v>80</v>
      </c>
      <c r="B94" s="38">
        <v>42491</v>
      </c>
      <c r="C94" t="s" s="39">
        <v>778</v>
      </c>
      <c r="D94" t="s" s="39">
        <v>828</v>
      </c>
      <c r="E94" s="40">
        <v>214599</v>
      </c>
      <c r="F94" s="44">
        <f>E94*0.19</f>
        <v>40773.81</v>
      </c>
      <c r="G94" s="45">
        <f>E94+F94</f>
        <v>255372.81</v>
      </c>
      <c r="H94" s="17">
        <f>IF(I94=TRUE(),E94,0)</f>
        <v>214599</v>
      </c>
      <c r="I94" t="b" s="18">
        <v>1</v>
      </c>
    </row>
    <row r="95" ht="18" customHeight="1">
      <c r="A95" s="37">
        <v>81</v>
      </c>
      <c r="B95" s="38">
        <v>42461</v>
      </c>
      <c r="C95" t="s" s="39">
        <v>777</v>
      </c>
      <c r="D95" t="s" s="39">
        <v>841</v>
      </c>
      <c r="E95" s="40">
        <v>164815</v>
      </c>
      <c r="F95" s="44">
        <f>E95*0.19</f>
        <v>31314.85</v>
      </c>
      <c r="G95" s="45">
        <f>E95+F95</f>
        <v>196129.85</v>
      </c>
      <c r="H95" s="17">
        <f>IF(I95=TRUE(),E95,0)</f>
        <v>0</v>
      </c>
      <c r="I95" t="b" s="18">
        <v>0</v>
      </c>
    </row>
    <row r="96" ht="18" customHeight="1">
      <c r="A96" s="37">
        <v>82</v>
      </c>
      <c r="B96" s="38">
        <v>42461</v>
      </c>
      <c r="C96" t="s" s="39">
        <v>793</v>
      </c>
      <c r="D96" t="s" s="39">
        <v>842</v>
      </c>
      <c r="E96" s="40">
        <v>90649</v>
      </c>
      <c r="F96" s="44">
        <f>E96*0.19</f>
        <v>17223.31</v>
      </c>
      <c r="G96" s="45">
        <f>E96+F96</f>
        <v>107872.31</v>
      </c>
      <c r="H96" s="17">
        <f>IF(I96=TRUE(),E96,0)</f>
        <v>90649</v>
      </c>
      <c r="I96" t="b" s="18">
        <v>1</v>
      </c>
    </row>
    <row r="97" ht="19" customHeight="1">
      <c r="A97" s="56">
        <v>83</v>
      </c>
      <c r="B97" s="38"/>
      <c r="C97" t="s" s="39">
        <v>843</v>
      </c>
      <c r="D97" s="42"/>
      <c r="E97" s="40">
        <v>230395</v>
      </c>
      <c r="F97" s="44">
        <f>E97*0.19</f>
        <v>43775.05</v>
      </c>
      <c r="G97" s="45">
        <f>E97+F97</f>
        <v>274170.05</v>
      </c>
      <c r="H97" s="17">
        <f>IF(I97=TRUE(),E97,0)</f>
        <v>0</v>
      </c>
      <c r="I97" t="b" s="18">
        <v>0</v>
      </c>
    </row>
    <row r="98" ht="18" customHeight="1">
      <c r="A98" s="37">
        <v>84</v>
      </c>
      <c r="B98" s="38">
        <v>42515</v>
      </c>
      <c r="C98" t="s" s="39">
        <v>769</v>
      </c>
      <c r="D98" t="s" s="39">
        <v>844</v>
      </c>
      <c r="E98" s="40">
        <v>551325</v>
      </c>
      <c r="F98" s="44">
        <f>E98*0.19</f>
        <v>104751.75</v>
      </c>
      <c r="G98" s="45">
        <f>E98+F98</f>
        <v>656076.75</v>
      </c>
      <c r="H98" s="17">
        <f>IF(I98=TRUE(),E98,0)</f>
        <v>551325</v>
      </c>
      <c r="I98" t="b" s="18">
        <v>1</v>
      </c>
    </row>
    <row r="99" ht="18" customHeight="1">
      <c r="A99" s="37">
        <v>85</v>
      </c>
      <c r="B99" s="38"/>
      <c r="C99" s="42"/>
      <c r="D99" s="42"/>
      <c r="E99" s="40"/>
      <c r="F99" s="44">
        <f>E99*0.19</f>
        <v>0</v>
      </c>
      <c r="G99" s="45">
        <f>E99+F99</f>
        <v>0</v>
      </c>
      <c r="H99" s="17">
        <f>IF(I99=TRUE(),E99,0)</f>
        <v>0</v>
      </c>
      <c r="I99" t="b" s="18">
        <v>0</v>
      </c>
    </row>
    <row r="100" ht="18" customHeight="1">
      <c r="A100" s="37">
        <v>86</v>
      </c>
      <c r="B100" s="38">
        <v>42515</v>
      </c>
      <c r="C100" t="s" s="39">
        <v>769</v>
      </c>
      <c r="D100" t="s" s="39">
        <v>845</v>
      </c>
      <c r="E100" s="40">
        <v>554721</v>
      </c>
      <c r="F100" s="44">
        <f>E100*0.19</f>
        <v>105396.99</v>
      </c>
      <c r="G100" s="45">
        <f>E100+F100</f>
        <v>660117.99</v>
      </c>
      <c r="H100" s="17">
        <f>IF(I100=TRUE(),E100,0)</f>
        <v>554721</v>
      </c>
      <c r="I100" t="b" s="18">
        <v>1</v>
      </c>
    </row>
    <row r="101" ht="18" customHeight="1">
      <c r="A101" s="37">
        <v>87</v>
      </c>
      <c r="B101" s="38">
        <v>42515</v>
      </c>
      <c r="C101" t="s" s="39">
        <v>769</v>
      </c>
      <c r="D101" t="s" s="39">
        <v>845</v>
      </c>
      <c r="E101" s="40">
        <v>557817</v>
      </c>
      <c r="F101" s="44">
        <f>E101*0.19</f>
        <v>105985.23</v>
      </c>
      <c r="G101" s="45">
        <f>E101+F101</f>
        <v>663802.23</v>
      </c>
      <c r="H101" s="17">
        <f>IF(I101=TRUE(),E101,0)</f>
        <v>557817</v>
      </c>
      <c r="I101" t="b" s="18">
        <v>1</v>
      </c>
    </row>
    <row r="102" ht="18" customHeight="1">
      <c r="A102" s="37">
        <v>88</v>
      </c>
      <c r="B102" s="38">
        <v>42515</v>
      </c>
      <c r="C102" t="s" s="39">
        <v>769</v>
      </c>
      <c r="D102" t="s" s="39">
        <v>845</v>
      </c>
      <c r="E102" s="40">
        <v>560169</v>
      </c>
      <c r="F102" s="44">
        <f>E102*0.19</f>
        <v>106432.11</v>
      </c>
      <c r="G102" s="45">
        <f>E102+F102</f>
        <v>666601.11</v>
      </c>
      <c r="H102" s="17">
        <f>IF(I102=TRUE(),E102,0)</f>
        <v>560169</v>
      </c>
      <c r="I102" t="b" s="18">
        <v>1</v>
      </c>
    </row>
    <row r="103" ht="18" customHeight="1">
      <c r="A103" s="37">
        <v>89</v>
      </c>
      <c r="B103" s="38">
        <v>42515</v>
      </c>
      <c r="C103" t="s" s="39">
        <v>769</v>
      </c>
      <c r="D103" t="s" s="39">
        <v>9</v>
      </c>
      <c r="E103" s="40">
        <v>560767</v>
      </c>
      <c r="F103" s="44">
        <f>E103*0.19</f>
        <v>106545.73</v>
      </c>
      <c r="G103" s="45">
        <f>E103+F103</f>
        <v>667312.73</v>
      </c>
      <c r="H103" s="17">
        <f>IF(I103=TRUE(),E103,0)</f>
        <v>560767</v>
      </c>
      <c r="I103" t="b" s="18">
        <v>1</v>
      </c>
    </row>
    <row r="104" ht="18" customHeight="1">
      <c r="A104" s="37">
        <v>90</v>
      </c>
      <c r="B104" s="38">
        <v>42515</v>
      </c>
      <c r="C104" t="s" s="39">
        <v>769</v>
      </c>
      <c r="D104" t="s" s="39">
        <v>9</v>
      </c>
      <c r="E104" s="40">
        <v>560767</v>
      </c>
      <c r="F104" s="44">
        <f>E104*0.19</f>
        <v>106545.73</v>
      </c>
      <c r="G104" s="45">
        <f>E104+F104</f>
        <v>667312.73</v>
      </c>
      <c r="H104" s="17">
        <f>IF(I104=TRUE(),E104,0)</f>
        <v>560767</v>
      </c>
      <c r="I104" t="b" s="18">
        <v>1</v>
      </c>
    </row>
    <row r="105" ht="18" customHeight="1">
      <c r="A105" s="37">
        <v>91</v>
      </c>
      <c r="B105" s="38">
        <v>42515</v>
      </c>
      <c r="C105" t="s" s="39">
        <v>769</v>
      </c>
      <c r="D105" t="s" s="39">
        <v>9</v>
      </c>
      <c r="E105" s="40">
        <v>593101</v>
      </c>
      <c r="F105" s="44">
        <f>E105*0.19</f>
        <v>112689.19</v>
      </c>
      <c r="G105" s="45">
        <f>E105+F105</f>
        <v>705790.1899999999</v>
      </c>
      <c r="H105" s="17">
        <f>IF(I105=TRUE(),E105,0)</f>
        <v>593101</v>
      </c>
      <c r="I105" t="b" s="18">
        <v>1</v>
      </c>
    </row>
    <row r="106" ht="18" customHeight="1">
      <c r="A106" s="37">
        <v>92</v>
      </c>
      <c r="B106" s="38">
        <v>42515</v>
      </c>
      <c r="C106" t="s" s="39">
        <v>769</v>
      </c>
      <c r="D106" t="s" s="39">
        <v>9</v>
      </c>
      <c r="E106" s="40">
        <v>562796</v>
      </c>
      <c r="F106" s="44">
        <f>E106*0.19</f>
        <v>106931.24</v>
      </c>
      <c r="G106" s="45">
        <f>E106+F106</f>
        <v>669727.24</v>
      </c>
      <c r="H106" s="17">
        <f>IF(I106=TRUE(),E106,0)</f>
        <v>562796</v>
      </c>
      <c r="I106" t="b" s="18">
        <v>1</v>
      </c>
    </row>
    <row r="107" ht="18" customHeight="1">
      <c r="A107" s="37">
        <v>93</v>
      </c>
      <c r="B107" s="38"/>
      <c r="C107" t="s" s="39">
        <v>846</v>
      </c>
      <c r="D107" t="s" s="39">
        <v>847</v>
      </c>
      <c r="E107" s="40">
        <v>342720</v>
      </c>
      <c r="F107" s="44">
        <f>E107*0.19</f>
        <v>65116.8</v>
      </c>
      <c r="G107" s="45">
        <f>E107+F107</f>
        <v>407836.8</v>
      </c>
      <c r="H107" s="17">
        <f>IF(I107=TRUE(),E107,0)</f>
        <v>342720</v>
      </c>
      <c r="I107" t="b" s="18">
        <v>1</v>
      </c>
    </row>
    <row r="108" ht="18" customHeight="1">
      <c r="A108" s="37">
        <v>94</v>
      </c>
      <c r="B108" s="38"/>
      <c r="C108" t="s" s="39">
        <v>848</v>
      </c>
      <c r="D108" t="s" s="39">
        <v>849</v>
      </c>
      <c r="E108" s="40">
        <v>285600</v>
      </c>
      <c r="F108" s="44">
        <f>E108*0.19</f>
        <v>54264</v>
      </c>
      <c r="G108" s="45">
        <f>E108+F108</f>
        <v>339864</v>
      </c>
      <c r="H108" s="17">
        <f>IF(I108=TRUE(),E108,0)</f>
        <v>285600</v>
      </c>
      <c r="I108" t="b" s="18">
        <v>1</v>
      </c>
    </row>
    <row r="109" ht="18" customHeight="1">
      <c r="A109" s="37">
        <v>95</v>
      </c>
      <c r="B109" s="38"/>
      <c r="C109" t="s" s="39">
        <v>850</v>
      </c>
      <c r="D109" t="s" s="39">
        <v>851</v>
      </c>
      <c r="E109" s="40">
        <v>399840</v>
      </c>
      <c r="F109" s="44">
        <f>E109*0.19</f>
        <v>75969.600000000006</v>
      </c>
      <c r="G109" s="45">
        <f>E109+F109</f>
        <v>475809.6</v>
      </c>
      <c r="H109" s="17">
        <f>IF(I109=TRUE(),E109,0)</f>
        <v>399840</v>
      </c>
      <c r="I109" t="b" s="18">
        <v>1</v>
      </c>
    </row>
    <row r="110" ht="18" customHeight="1">
      <c r="A110" s="37">
        <v>96</v>
      </c>
      <c r="B110" s="38"/>
      <c r="C110" t="s" s="39">
        <v>852</v>
      </c>
      <c r="D110" t="s" s="39">
        <v>853</v>
      </c>
      <c r="E110" s="40">
        <v>114240</v>
      </c>
      <c r="F110" s="44">
        <f>E110*0.19</f>
        <v>21705.6</v>
      </c>
      <c r="G110" s="45">
        <f>E110+F110</f>
        <v>135945.6</v>
      </c>
      <c r="H110" s="17">
        <f>IF(I110=TRUE(),E110,0)</f>
        <v>114240</v>
      </c>
      <c r="I110" t="b" s="18">
        <v>1</v>
      </c>
    </row>
    <row r="111" ht="18" customHeight="1">
      <c r="A111" s="37">
        <v>97</v>
      </c>
      <c r="B111" s="38">
        <v>42491</v>
      </c>
      <c r="C111" t="s" s="39">
        <v>777</v>
      </c>
      <c r="D111" t="s" s="39">
        <v>854</v>
      </c>
      <c r="E111" s="40">
        <v>300932</v>
      </c>
      <c r="F111" s="44">
        <f>E111*0.19</f>
        <v>57177.08</v>
      </c>
      <c r="G111" s="45">
        <f>E111+F111</f>
        <v>358109.08</v>
      </c>
      <c r="H111" s="17">
        <f>IF(I111=TRUE(),E111,0)</f>
        <v>300932</v>
      </c>
      <c r="I111" t="b" s="18">
        <v>1</v>
      </c>
    </row>
    <row r="112" ht="18" customHeight="1">
      <c r="A112" s="37">
        <v>98</v>
      </c>
      <c r="B112" s="38">
        <v>42491</v>
      </c>
      <c r="C112" t="s" s="39">
        <v>777</v>
      </c>
      <c r="D112" t="s" s="39">
        <v>542</v>
      </c>
      <c r="E112" s="40">
        <v>101750</v>
      </c>
      <c r="F112" s="44">
        <f>E112*0.19</f>
        <v>19332.5</v>
      </c>
      <c r="G112" s="45">
        <f>E112+F112</f>
        <v>121082.5</v>
      </c>
      <c r="H112" s="17">
        <f>IF(I112=TRUE(),E112,0)</f>
        <v>101750</v>
      </c>
      <c r="I112" t="b" s="18">
        <v>1</v>
      </c>
    </row>
    <row r="113" ht="18" customHeight="1">
      <c r="A113" s="37">
        <v>99</v>
      </c>
      <c r="B113" s="38">
        <v>42491</v>
      </c>
      <c r="C113" t="s" s="39">
        <v>777</v>
      </c>
      <c r="D113" t="s" s="39">
        <v>855</v>
      </c>
      <c r="E113" s="40">
        <v>24666</v>
      </c>
      <c r="F113" s="44">
        <f>E113*0.19</f>
        <v>4686.54</v>
      </c>
      <c r="G113" s="45">
        <f>E113+F113</f>
        <v>29352.54</v>
      </c>
      <c r="H113" s="17">
        <f>IF(I113=TRUE(),E113,0)</f>
        <v>24666</v>
      </c>
      <c r="I113" t="b" s="18">
        <v>1</v>
      </c>
    </row>
    <row r="114" ht="18" customHeight="1">
      <c r="A114" s="37">
        <v>100</v>
      </c>
      <c r="B114" s="38">
        <v>42491</v>
      </c>
      <c r="C114" t="s" s="39">
        <v>787</v>
      </c>
      <c r="D114" t="s" s="39">
        <v>842</v>
      </c>
      <c r="E114" s="40">
        <v>123333</v>
      </c>
      <c r="F114" s="44">
        <f>E114*0.19</f>
        <v>23433.27</v>
      </c>
      <c r="G114" s="45">
        <f>E114+F114</f>
        <v>146766.27</v>
      </c>
      <c r="H114" s="17">
        <f>IF(I114=TRUE(),E114,0)</f>
        <v>123333</v>
      </c>
      <c r="I114" t="b" s="18">
        <v>1</v>
      </c>
    </row>
    <row r="115" ht="18" customHeight="1">
      <c r="A115" s="37">
        <v>101</v>
      </c>
      <c r="B115" s="38">
        <v>42491</v>
      </c>
      <c r="C115" t="s" s="39">
        <v>833</v>
      </c>
      <c r="D115" t="s" s="39">
        <v>842</v>
      </c>
      <c r="E115" s="40">
        <v>67834</v>
      </c>
      <c r="F115" s="44">
        <f>E115*0.19</f>
        <v>12888.46</v>
      </c>
      <c r="G115" s="45">
        <f>E115+F115</f>
        <v>80722.460000000006</v>
      </c>
      <c r="H115" s="17">
        <f>IF(I115=TRUE(),E115,0)</f>
        <v>67834</v>
      </c>
      <c r="I115" t="b" s="18">
        <v>1</v>
      </c>
    </row>
    <row r="116" ht="18" customHeight="1">
      <c r="A116" s="37">
        <v>102</v>
      </c>
      <c r="B116" s="38">
        <v>42491</v>
      </c>
      <c r="C116" t="s" s="39">
        <v>833</v>
      </c>
      <c r="D116" t="s" s="39">
        <v>856</v>
      </c>
      <c r="E116" s="40">
        <v>101750</v>
      </c>
      <c r="F116" s="44">
        <f>E116*0.19</f>
        <v>19332.5</v>
      </c>
      <c r="G116" s="45">
        <f>E116+F116</f>
        <v>121082.5</v>
      </c>
      <c r="H116" s="17">
        <f>IF(I116=TRUE(),E116,0)</f>
        <v>101750</v>
      </c>
      <c r="I116" t="b" s="18">
        <v>1</v>
      </c>
    </row>
    <row r="117" ht="18" customHeight="1">
      <c r="A117" s="37">
        <v>103</v>
      </c>
      <c r="B117" s="38">
        <v>42491</v>
      </c>
      <c r="C117" t="s" s="39">
        <v>796</v>
      </c>
      <c r="D117" t="s" s="39">
        <v>776</v>
      </c>
      <c r="E117" s="40">
        <v>590455</v>
      </c>
      <c r="F117" s="44">
        <f>E117*0.19</f>
        <v>112186.45</v>
      </c>
      <c r="G117" s="45">
        <f>E117+F117</f>
        <v>702641.45</v>
      </c>
      <c r="H117" s="17">
        <f>IF(I117=TRUE(),E117,0)</f>
        <v>590455</v>
      </c>
      <c r="I117" t="b" s="18">
        <v>1</v>
      </c>
    </row>
    <row r="118" ht="18" customHeight="1">
      <c r="A118" s="37">
        <v>104</v>
      </c>
      <c r="B118" s="38">
        <v>42514</v>
      </c>
      <c r="C118" t="s" s="39">
        <v>857</v>
      </c>
      <c r="D118" t="s" s="39">
        <v>858</v>
      </c>
      <c r="E118" s="40"/>
      <c r="F118" s="44">
        <f>E118*0.19</f>
        <v>0</v>
      </c>
      <c r="G118" s="45">
        <f>E118+F118</f>
        <v>0</v>
      </c>
      <c r="H118" s="17">
        <f>IF(I118=TRUE(),E118,0)</f>
        <v>0</v>
      </c>
      <c r="I118" t="b" s="18">
        <v>0</v>
      </c>
    </row>
    <row r="119" ht="18" customHeight="1">
      <c r="A119" s="37">
        <v>105</v>
      </c>
      <c r="B119" s="38">
        <v>42501</v>
      </c>
      <c r="C119" t="s" s="39">
        <v>859</v>
      </c>
      <c r="D119" t="s" s="39">
        <v>860</v>
      </c>
      <c r="E119" s="40">
        <v>297500</v>
      </c>
      <c r="F119" s="44">
        <f>E119*0.19</f>
        <v>56525</v>
      </c>
      <c r="G119" s="45">
        <f>E119+F119</f>
        <v>354025</v>
      </c>
      <c r="H119" s="17">
        <f>IF(I119=TRUE(),E119,0)</f>
        <v>0</v>
      </c>
      <c r="I119" t="b" s="18">
        <v>0</v>
      </c>
    </row>
    <row r="120" ht="18" customHeight="1">
      <c r="A120" s="37">
        <v>106</v>
      </c>
      <c r="B120" s="38">
        <v>42520</v>
      </c>
      <c r="C120" t="s" s="39">
        <v>778</v>
      </c>
      <c r="D120" t="s" s="39">
        <v>861</v>
      </c>
      <c r="E120" s="40">
        <v>30075</v>
      </c>
      <c r="F120" s="44">
        <f>E120*0.19</f>
        <v>5714.25</v>
      </c>
      <c r="G120" s="45">
        <f>E120+F120</f>
        <v>35789.25</v>
      </c>
      <c r="H120" s="17">
        <f>IF(I120=TRUE(),E120,0)</f>
        <v>30075</v>
      </c>
      <c r="I120" t="b" s="18">
        <v>1</v>
      </c>
    </row>
    <row r="121" ht="18" customHeight="1">
      <c r="A121" s="46">
        <v>107</v>
      </c>
      <c r="B121" s="47">
        <v>42518</v>
      </c>
      <c r="C121" t="s" s="48">
        <v>785</v>
      </c>
      <c r="D121" t="s" s="48">
        <v>862</v>
      </c>
      <c r="E121" s="49">
        <v>237416</v>
      </c>
      <c r="F121" s="44">
        <f>E121*0.19</f>
        <v>45109.04</v>
      </c>
      <c r="G121" s="45">
        <f>E121+F121</f>
        <v>282525.04</v>
      </c>
      <c r="H121" s="17">
        <f>IF(I121=TRUE(),E121,0)</f>
        <v>237416</v>
      </c>
      <c r="I121" t="b" s="18">
        <v>1</v>
      </c>
    </row>
    <row r="122" ht="18" customHeight="1">
      <c r="A122" s="18">
        <f>COUNT(A92:A121)</f>
        <v>30</v>
      </c>
      <c r="B122" t="s" s="50">
        <v>863</v>
      </c>
      <c r="C122" t="s" s="14">
        <v>7</v>
      </c>
      <c r="D122" s="14"/>
      <c r="E122" s="51">
        <f>SUM(E92:E121)</f>
        <v>8774413</v>
      </c>
      <c r="F122" s="51">
        <f>SUM(F92:F121)</f>
        <v>1667138.47</v>
      </c>
      <c r="G122" s="45">
        <f>SUM(G92:G121)</f>
        <v>10441551.47</v>
      </c>
      <c r="H122" s="17">
        <f>SUM(H92:H121)</f>
        <v>8081703</v>
      </c>
      <c r="I122" s="18">
        <f>COUNTIF(I92:I121,TRUE())</f>
        <v>25</v>
      </c>
    </row>
    <row r="123" ht="18" customHeight="1">
      <c r="A123" s="52"/>
      <c r="B123" s="53"/>
      <c r="C123" s="52"/>
      <c r="D123" s="52"/>
      <c r="E123" s="54"/>
      <c r="F123" s="44"/>
      <c r="G123" s="45"/>
      <c r="H123" s="17"/>
      <c r="I123" s="19"/>
    </row>
    <row r="124" ht="18" customHeight="1">
      <c r="A124" s="37">
        <v>108</v>
      </c>
      <c r="B124" s="38">
        <v>42522</v>
      </c>
      <c r="C124" t="s" s="39">
        <v>795</v>
      </c>
      <c r="D124" t="s" s="39">
        <v>9</v>
      </c>
      <c r="E124" s="40">
        <v>308333</v>
      </c>
      <c r="F124" s="44">
        <f>E124*0.19</f>
        <v>58583.27</v>
      </c>
      <c r="G124" s="45">
        <f>E124+F124</f>
        <v>366916.27</v>
      </c>
      <c r="H124" s="17">
        <f>IF(I124=TRUE(),E124,0)</f>
        <v>308333</v>
      </c>
      <c r="I124" t="b" s="18">
        <v>1</v>
      </c>
    </row>
    <row r="125" ht="18" customHeight="1">
      <c r="A125" s="37">
        <v>109</v>
      </c>
      <c r="B125" s="38">
        <v>42543</v>
      </c>
      <c r="C125" t="s" s="39">
        <v>769</v>
      </c>
      <c r="D125" t="s" s="39">
        <v>448</v>
      </c>
      <c r="E125" s="40">
        <v>107100</v>
      </c>
      <c r="F125" s="44">
        <f>E125*0.19</f>
        <v>20349</v>
      </c>
      <c r="G125" s="45">
        <f>E125+F125</f>
        <v>127449</v>
      </c>
      <c r="H125" s="17">
        <f>IF(I125=TRUE(),E125,0)</f>
        <v>0</v>
      </c>
      <c r="I125" t="b" s="18">
        <v>0</v>
      </c>
    </row>
    <row r="126" ht="18" customHeight="1">
      <c r="A126" s="37">
        <v>110</v>
      </c>
      <c r="B126" s="38">
        <v>42543</v>
      </c>
      <c r="C126" t="s" s="39">
        <v>769</v>
      </c>
      <c r="D126" t="s" s="39">
        <v>864</v>
      </c>
      <c r="E126" s="40">
        <v>136850</v>
      </c>
      <c r="F126" s="44">
        <f>E126*0.19</f>
        <v>26001.5</v>
      </c>
      <c r="G126" s="45">
        <f>E126+F126</f>
        <v>162851.5</v>
      </c>
      <c r="H126" s="17">
        <f>IF(I126=TRUE(),E126,0)</f>
        <v>0</v>
      </c>
      <c r="I126" t="b" s="18">
        <v>0</v>
      </c>
    </row>
    <row r="127" ht="18" customHeight="1">
      <c r="A127" s="37">
        <v>111</v>
      </c>
      <c r="B127" s="38">
        <v>42522</v>
      </c>
      <c r="C127" t="s" s="39">
        <v>775</v>
      </c>
      <c r="D127" t="s" s="39">
        <v>827</v>
      </c>
      <c r="E127" s="40">
        <v>405245</v>
      </c>
      <c r="F127" s="44">
        <f>E127*0.19</f>
        <v>76996.55</v>
      </c>
      <c r="G127" s="45">
        <f>E127+F127</f>
        <v>482241.55</v>
      </c>
      <c r="H127" s="17">
        <f>IF(I127=TRUE(),E127,0)</f>
        <v>405245</v>
      </c>
      <c r="I127" t="b" s="18">
        <v>1</v>
      </c>
    </row>
    <row r="128" ht="18" customHeight="1">
      <c r="A128" s="37">
        <v>112</v>
      </c>
      <c r="B128" s="38">
        <v>42522</v>
      </c>
      <c r="C128" t="s" s="39">
        <v>793</v>
      </c>
      <c r="D128" t="s" s="39">
        <v>825</v>
      </c>
      <c r="E128" s="40">
        <v>90948</v>
      </c>
      <c r="F128" s="44">
        <f>E128*0.19</f>
        <v>17280.12</v>
      </c>
      <c r="G128" s="45">
        <f>E128+F128</f>
        <v>108228.12</v>
      </c>
      <c r="H128" s="17">
        <f>IF(I128=TRUE(),E128,0)</f>
        <v>90948</v>
      </c>
      <c r="I128" t="b" s="18">
        <v>1</v>
      </c>
    </row>
    <row r="129" ht="18" customHeight="1">
      <c r="A129" s="37">
        <v>113</v>
      </c>
      <c r="B129" s="38">
        <v>42522</v>
      </c>
      <c r="C129" t="s" s="39">
        <v>822</v>
      </c>
      <c r="D129" t="s" s="39">
        <v>865</v>
      </c>
      <c r="E129" s="40">
        <v>150961</v>
      </c>
      <c r="F129" s="44">
        <f>E129*0.19</f>
        <v>28682.59</v>
      </c>
      <c r="G129" s="45">
        <f>E129+F129</f>
        <v>179643.59</v>
      </c>
      <c r="H129" s="17">
        <f>IF(I129=TRUE(),E129,0)</f>
        <v>150961</v>
      </c>
      <c r="I129" t="b" s="18">
        <v>1</v>
      </c>
    </row>
    <row r="130" ht="18" customHeight="1">
      <c r="A130" s="37">
        <v>114</v>
      </c>
      <c r="B130" s="38">
        <v>42522</v>
      </c>
      <c r="C130" t="s" s="39">
        <v>778</v>
      </c>
      <c r="D130" t="s" s="39">
        <v>828</v>
      </c>
      <c r="E130" s="40">
        <v>215306</v>
      </c>
      <c r="F130" s="44">
        <f>E130*0.19</f>
        <v>40908.14</v>
      </c>
      <c r="G130" s="45">
        <f>E130+F130</f>
        <v>256214.14</v>
      </c>
      <c r="H130" s="17">
        <f>IF(I130=TRUE(),E130,0)</f>
        <v>215306</v>
      </c>
      <c r="I130" t="b" s="18">
        <v>1</v>
      </c>
    </row>
    <row r="131" ht="18" customHeight="1">
      <c r="A131" s="37">
        <v>115</v>
      </c>
      <c r="B131" s="38">
        <v>42522</v>
      </c>
      <c r="C131" t="s" s="39">
        <v>833</v>
      </c>
      <c r="D131" t="s" s="39">
        <v>866</v>
      </c>
      <c r="E131" s="40">
        <v>68056</v>
      </c>
      <c r="F131" s="44">
        <f>E131*0.19</f>
        <v>12930.64</v>
      </c>
      <c r="G131" s="45">
        <f>E131+F131</f>
        <v>80986.64</v>
      </c>
      <c r="H131" s="17">
        <f>IF(I131=TRUE(),E131,0)</f>
        <v>68056</v>
      </c>
      <c r="I131" t="b" s="18">
        <v>1</v>
      </c>
    </row>
    <row r="132" ht="18" customHeight="1">
      <c r="A132" s="37">
        <v>116</v>
      </c>
      <c r="B132" s="38">
        <v>42522</v>
      </c>
      <c r="C132" t="s" s="39">
        <v>833</v>
      </c>
      <c r="D132" t="s" s="39">
        <v>867</v>
      </c>
      <c r="E132" s="40">
        <v>102084</v>
      </c>
      <c r="F132" s="44">
        <f>E132*0.19</f>
        <v>19395.96</v>
      </c>
      <c r="G132" s="45">
        <f>E132+F132</f>
        <v>121479.96</v>
      </c>
      <c r="H132" s="17">
        <f>IF(I132=TRUE(),E132,0)</f>
        <v>102084</v>
      </c>
      <c r="I132" t="b" s="18">
        <v>1</v>
      </c>
    </row>
    <row r="133" ht="18" customHeight="1">
      <c r="A133" s="37">
        <v>117</v>
      </c>
      <c r="B133" s="38">
        <v>42552</v>
      </c>
      <c r="C133" t="s" s="39">
        <v>778</v>
      </c>
      <c r="D133" t="s" s="39">
        <v>868</v>
      </c>
      <c r="E133" s="40">
        <v>29750</v>
      </c>
      <c r="F133" s="44">
        <f>E133*0.19</f>
        <v>5652.5</v>
      </c>
      <c r="G133" s="45">
        <f>E133+F133</f>
        <v>35402.5</v>
      </c>
      <c r="H133" s="17">
        <f>IF(I133=TRUE(),E133,0)</f>
        <v>0</v>
      </c>
      <c r="I133" t="b" s="18">
        <v>0</v>
      </c>
    </row>
    <row r="134" ht="18" customHeight="1">
      <c r="A134" s="37">
        <v>118</v>
      </c>
      <c r="B134" s="38">
        <v>42522</v>
      </c>
      <c r="C134" t="s" s="39">
        <v>796</v>
      </c>
      <c r="D134" t="s" s="39">
        <v>770</v>
      </c>
      <c r="E134" s="40">
        <v>392700</v>
      </c>
      <c r="F134" s="44">
        <f>E134*0.19</f>
        <v>74613</v>
      </c>
      <c r="G134" s="45">
        <f>E134+F134</f>
        <v>467313</v>
      </c>
      <c r="H134" s="17">
        <f>IF(I134=TRUE(),E134,0)</f>
        <v>0</v>
      </c>
      <c r="I134" t="b" s="18">
        <v>0</v>
      </c>
    </row>
    <row r="135" ht="18" customHeight="1">
      <c r="A135" s="37">
        <v>119</v>
      </c>
      <c r="B135" s="38">
        <v>42522</v>
      </c>
      <c r="C135" t="s" s="39">
        <v>785</v>
      </c>
      <c r="D135" s="42"/>
      <c r="E135" s="40">
        <v>259420</v>
      </c>
      <c r="F135" s="44">
        <f>E135*0.19</f>
        <v>49289.8</v>
      </c>
      <c r="G135" s="45">
        <f>E135+F135</f>
        <v>308709.8</v>
      </c>
      <c r="H135" s="17">
        <f>IF(I135=TRUE(),E135,0)</f>
        <v>259420</v>
      </c>
      <c r="I135" t="b" s="18">
        <v>1</v>
      </c>
    </row>
    <row r="136" ht="18" customHeight="1">
      <c r="A136" s="37">
        <v>120</v>
      </c>
      <c r="B136" s="38">
        <v>42522</v>
      </c>
      <c r="C136" t="s" s="39">
        <v>785</v>
      </c>
      <c r="D136" t="s" s="39">
        <v>836</v>
      </c>
      <c r="E136" s="40">
        <v>408338</v>
      </c>
      <c r="F136" s="44">
        <f>E136*0.19</f>
        <v>77584.22</v>
      </c>
      <c r="G136" s="45">
        <f>E136+F136</f>
        <v>485922.22</v>
      </c>
      <c r="H136" s="17">
        <f>IF(I136=TRUE(),E136,0)</f>
        <v>408338</v>
      </c>
      <c r="I136" t="b" s="18">
        <v>1</v>
      </c>
    </row>
    <row r="137" ht="18" customHeight="1">
      <c r="A137" s="37">
        <v>121</v>
      </c>
      <c r="B137" s="38">
        <v>42552</v>
      </c>
      <c r="C137" t="s" s="39">
        <v>771</v>
      </c>
      <c r="D137" t="s" s="39">
        <v>797</v>
      </c>
      <c r="E137" s="40">
        <v>463260</v>
      </c>
      <c r="F137" s="44">
        <f>E137*0.19</f>
        <v>88019.399999999994</v>
      </c>
      <c r="G137" s="45">
        <f>E137+F137</f>
        <v>551279.4</v>
      </c>
      <c r="H137" s="17">
        <f>IF(I137=TRUE(),E137,0)</f>
        <v>463260</v>
      </c>
      <c r="I137" t="b" s="18">
        <v>1</v>
      </c>
    </row>
    <row r="138" ht="18" customHeight="1">
      <c r="A138" s="37">
        <v>122</v>
      </c>
      <c r="B138" s="38">
        <v>42522</v>
      </c>
      <c r="C138" t="s" s="39">
        <v>777</v>
      </c>
      <c r="D138" t="s" s="39">
        <v>869</v>
      </c>
      <c r="E138" s="40">
        <v>301923</v>
      </c>
      <c r="F138" s="44">
        <f>E138*0.19</f>
        <v>57365.37</v>
      </c>
      <c r="G138" s="45">
        <f>E138+F138</f>
        <v>359288.37</v>
      </c>
      <c r="H138" s="17">
        <f>IF(I138=TRUE(),E138,0)</f>
        <v>301923</v>
      </c>
      <c r="I138" t="b" s="18">
        <v>1</v>
      </c>
    </row>
    <row r="139" ht="18" customHeight="1">
      <c r="A139" s="37">
        <v>123</v>
      </c>
      <c r="B139" s="38">
        <v>42522</v>
      </c>
      <c r="C139" t="s" s="39">
        <v>777</v>
      </c>
      <c r="D139" t="s" s="39">
        <v>870</v>
      </c>
      <c r="E139" s="40">
        <v>102084</v>
      </c>
      <c r="F139" s="44">
        <f>E139*0.19</f>
        <v>19395.96</v>
      </c>
      <c r="G139" s="45">
        <f>E139+F139</f>
        <v>121479.96</v>
      </c>
      <c r="H139" s="17">
        <f>IF(I139=TRUE(),E139,0)</f>
        <v>102084</v>
      </c>
      <c r="I139" t="b" s="18">
        <v>1</v>
      </c>
    </row>
    <row r="140" ht="18" customHeight="1">
      <c r="A140" s="37">
        <v>124</v>
      </c>
      <c r="B140" s="38">
        <v>42522</v>
      </c>
      <c r="C140" t="s" s="39">
        <v>777</v>
      </c>
      <c r="D140" t="s" s="39">
        <v>808</v>
      </c>
      <c r="E140" s="40">
        <v>24747</v>
      </c>
      <c r="F140" s="44">
        <f>E140*0.19</f>
        <v>4701.93</v>
      </c>
      <c r="G140" s="45">
        <f>E140+F140</f>
        <v>29448.93</v>
      </c>
      <c r="H140" s="17">
        <f>IF(I140=TRUE(),E140,0)</f>
        <v>24747</v>
      </c>
      <c r="I140" t="b" s="18">
        <v>1</v>
      </c>
    </row>
    <row r="141" ht="18" customHeight="1">
      <c r="A141" s="37">
        <v>125</v>
      </c>
      <c r="B141" s="38">
        <v>42522</v>
      </c>
      <c r="C141" t="s" s="39">
        <v>777</v>
      </c>
      <c r="D141" t="s" s="39">
        <v>871</v>
      </c>
      <c r="E141" s="40">
        <v>148487</v>
      </c>
      <c r="F141" s="44">
        <f>E141*0.19</f>
        <v>28212.53</v>
      </c>
      <c r="G141" s="45">
        <f>E141+F141</f>
        <v>176699.53</v>
      </c>
      <c r="H141" s="17">
        <f>IF(I141=TRUE(),E141,0)</f>
        <v>148487</v>
      </c>
      <c r="I141" t="b" s="18">
        <v>1</v>
      </c>
    </row>
    <row r="142" ht="18" customHeight="1">
      <c r="A142" s="37">
        <v>126</v>
      </c>
      <c r="B142" s="38">
        <v>42545</v>
      </c>
      <c r="C142" t="s" s="39">
        <v>769</v>
      </c>
      <c r="D142" t="s" s="39">
        <v>872</v>
      </c>
      <c r="E142" s="40">
        <v>539639</v>
      </c>
      <c r="F142" s="44">
        <f>E142*0.19</f>
        <v>102531.41</v>
      </c>
      <c r="G142" s="45">
        <f>E142+F142</f>
        <v>642170.41</v>
      </c>
      <c r="H142" s="17">
        <f>IF(I142=TRUE(),E142,0)</f>
        <v>539639</v>
      </c>
      <c r="I142" t="b" s="18">
        <v>1</v>
      </c>
    </row>
    <row r="143" ht="18" customHeight="1">
      <c r="A143" s="37">
        <v>127</v>
      </c>
      <c r="B143" s="38">
        <v>42549</v>
      </c>
      <c r="C143" t="s" s="39">
        <v>769</v>
      </c>
      <c r="D143" t="s" s="39">
        <v>873</v>
      </c>
      <c r="E143" s="40">
        <v>582744</v>
      </c>
      <c r="F143" s="44">
        <f>E143*0.19</f>
        <v>110721.36</v>
      </c>
      <c r="G143" s="45">
        <f>E143+F143</f>
        <v>693465.36</v>
      </c>
      <c r="H143" s="17">
        <f>IF(I143=TRUE(),E143,0)</f>
        <v>582744</v>
      </c>
      <c r="I143" t="b" s="18">
        <v>1</v>
      </c>
    </row>
    <row r="144" ht="18" customHeight="1">
      <c r="A144" s="37">
        <v>128</v>
      </c>
      <c r="B144" s="38">
        <v>42549</v>
      </c>
      <c r="C144" t="s" s="39">
        <v>769</v>
      </c>
      <c r="D144" t="s" s="39">
        <v>874</v>
      </c>
      <c r="E144" s="40">
        <v>541637</v>
      </c>
      <c r="F144" s="44">
        <f>E144*0.19</f>
        <v>102911.03</v>
      </c>
      <c r="G144" s="45">
        <f>E144+F144</f>
        <v>644548.03</v>
      </c>
      <c r="H144" s="17">
        <f>IF(I144=TRUE(),E144,0)</f>
        <v>541637</v>
      </c>
      <c r="I144" t="b" s="18">
        <v>1</v>
      </c>
    </row>
    <row r="145" ht="18" customHeight="1">
      <c r="A145" s="37">
        <v>129</v>
      </c>
      <c r="B145" s="38">
        <v>42549</v>
      </c>
      <c r="C145" t="s" s="39">
        <v>769</v>
      </c>
      <c r="D145" t="s" s="39">
        <v>875</v>
      </c>
      <c r="E145" s="40">
        <v>584906</v>
      </c>
      <c r="F145" s="44">
        <f>E145*0.19</f>
        <v>111132.14</v>
      </c>
      <c r="G145" s="45">
        <f>E145+F145</f>
        <v>696038.14</v>
      </c>
      <c r="H145" s="17">
        <f>IF(I145=TRUE(),E145,0)</f>
        <v>584906</v>
      </c>
      <c r="I145" t="b" s="18">
        <v>1</v>
      </c>
    </row>
    <row r="146" ht="18" customHeight="1">
      <c r="A146" s="37">
        <v>130</v>
      </c>
      <c r="B146" s="38">
        <v>42549</v>
      </c>
      <c r="C146" t="s" s="39">
        <v>769</v>
      </c>
      <c r="D146" t="s" s="39">
        <v>876</v>
      </c>
      <c r="E146" s="40">
        <v>542228</v>
      </c>
      <c r="F146" s="44">
        <f>E146*0.19</f>
        <v>103023.32</v>
      </c>
      <c r="G146" s="45">
        <f>E146+F146</f>
        <v>645251.3200000001</v>
      </c>
      <c r="H146" s="17">
        <f>IF(I146=TRUE(),E146,0)</f>
        <v>542228</v>
      </c>
      <c r="I146" t="b" s="18">
        <v>1</v>
      </c>
    </row>
    <row r="147" ht="18" customHeight="1">
      <c r="A147" s="37">
        <v>131</v>
      </c>
      <c r="B147" s="38">
        <v>42549</v>
      </c>
      <c r="C147" t="s" s="39">
        <v>769</v>
      </c>
      <c r="D147" t="s" s="39">
        <v>877</v>
      </c>
      <c r="E147" s="40">
        <v>586829</v>
      </c>
      <c r="F147" s="44">
        <f>E147*0.19</f>
        <v>111497.51</v>
      </c>
      <c r="G147" s="45">
        <f>E147+F147</f>
        <v>698326.51</v>
      </c>
      <c r="H147" s="17">
        <f>IF(I147=TRUE(),E147,0)</f>
        <v>586829</v>
      </c>
      <c r="I147" t="b" s="18">
        <v>1</v>
      </c>
    </row>
    <row r="148" ht="18" customHeight="1">
      <c r="A148" s="37">
        <v>132</v>
      </c>
      <c r="B148" s="38">
        <v>42522</v>
      </c>
      <c r="C148" t="s" s="39">
        <v>837</v>
      </c>
      <c r="D148" t="s" s="39">
        <v>878</v>
      </c>
      <c r="E148" s="40">
        <v>2210458</v>
      </c>
      <c r="F148" s="44">
        <f>E148*0.19</f>
        <v>419987.02</v>
      </c>
      <c r="G148" s="45">
        <f>E148+F148</f>
        <v>2630445.02</v>
      </c>
      <c r="H148" s="17">
        <f>IF(I148=TRUE(),E148,0)</f>
        <v>2210458</v>
      </c>
      <c r="I148" t="b" s="18">
        <v>1</v>
      </c>
    </row>
    <row r="149" ht="18" customHeight="1">
      <c r="A149" s="46">
        <v>133</v>
      </c>
      <c r="B149" s="47">
        <v>42522</v>
      </c>
      <c r="C149" t="s" s="48">
        <v>839</v>
      </c>
      <c r="D149" t="s" s="48">
        <v>878</v>
      </c>
      <c r="E149" s="49">
        <v>1986023</v>
      </c>
      <c r="F149" s="44">
        <f>E149*0.19</f>
        <v>377344.37</v>
      </c>
      <c r="G149" s="45">
        <f>E149+F149</f>
        <v>2363367.37</v>
      </c>
      <c r="H149" s="17">
        <f>IF(I149=TRUE(),E149,0)</f>
        <v>1986023</v>
      </c>
      <c r="I149" t="b" s="18">
        <v>1</v>
      </c>
    </row>
    <row r="150" ht="18" customHeight="1">
      <c r="A150" s="18">
        <f>COUNT(A124:A149)</f>
        <v>26</v>
      </c>
      <c r="B150" t="s" s="50">
        <v>879</v>
      </c>
      <c r="C150" t="s" s="14">
        <v>7</v>
      </c>
      <c r="D150" s="14"/>
      <c r="E150" s="51">
        <f>SUM(E124:E149)</f>
        <v>11290056</v>
      </c>
      <c r="F150" s="51">
        <f>SUM(F124:F149)</f>
        <v>2145110.64</v>
      </c>
      <c r="G150" s="45">
        <f>SUM(G124:G149)</f>
        <v>13435166.64</v>
      </c>
      <c r="H150" s="17">
        <f>SUM(H124:H149)</f>
        <v>10623656</v>
      </c>
      <c r="I150" s="18">
        <f>COUNTIF(I124:I149,TRUE())</f>
        <v>22</v>
      </c>
    </row>
    <row r="151" ht="18" customHeight="1">
      <c r="A151" s="52"/>
      <c r="B151" s="53"/>
      <c r="C151" s="52"/>
      <c r="D151" s="52"/>
      <c r="E151" s="54"/>
      <c r="F151" s="44"/>
      <c r="G151" s="45"/>
      <c r="H151" s="17"/>
      <c r="I151" s="19"/>
    </row>
    <row r="152" ht="18" customHeight="1">
      <c r="A152" s="37">
        <v>134</v>
      </c>
      <c r="B152" s="38">
        <v>42557</v>
      </c>
      <c r="C152" t="s" s="39">
        <v>769</v>
      </c>
      <c r="D152" t="s" s="39">
        <v>880</v>
      </c>
      <c r="E152" s="40">
        <v>113050</v>
      </c>
      <c r="F152" s="44">
        <f>E152*0.19</f>
        <v>21479.5</v>
      </c>
      <c r="G152" s="45">
        <f>E152+F152</f>
        <v>134529.5</v>
      </c>
      <c r="H152" s="17">
        <f>IF(I152=TRUE(),E152,0)</f>
        <v>0</v>
      </c>
      <c r="I152" t="b" s="18">
        <v>0</v>
      </c>
    </row>
    <row r="153" ht="18" customHeight="1">
      <c r="A153" s="37">
        <v>135</v>
      </c>
      <c r="B153" s="38">
        <v>42557</v>
      </c>
      <c r="C153" t="s" s="39">
        <v>769</v>
      </c>
      <c r="D153" t="s" s="39">
        <v>881</v>
      </c>
      <c r="E153" s="40">
        <v>59500</v>
      </c>
      <c r="F153" s="44">
        <f>E153*0.19</f>
        <v>11305</v>
      </c>
      <c r="G153" s="45">
        <f>E153+F153</f>
        <v>70805</v>
      </c>
      <c r="H153" s="17">
        <f>IF(I153=TRUE(),E153,0)</f>
        <v>0</v>
      </c>
      <c r="I153" t="b" s="18">
        <v>0</v>
      </c>
    </row>
    <row r="154" ht="18" customHeight="1">
      <c r="A154" s="37">
        <v>136</v>
      </c>
      <c r="B154" s="38">
        <v>42557</v>
      </c>
      <c r="C154" t="s" s="39">
        <v>769</v>
      </c>
      <c r="D154" t="s" s="39">
        <v>770</v>
      </c>
      <c r="E154" s="40">
        <v>348373</v>
      </c>
      <c r="F154" s="44">
        <f>E154*0.19</f>
        <v>66190.87</v>
      </c>
      <c r="G154" s="45">
        <f>E154+F154</f>
        <v>414563.87</v>
      </c>
      <c r="H154" s="17">
        <f>IF(I154=TRUE(),E154,0)</f>
        <v>0</v>
      </c>
      <c r="I154" t="b" s="18">
        <v>0</v>
      </c>
    </row>
    <row r="155" ht="18" customHeight="1">
      <c r="A155" s="37">
        <v>137</v>
      </c>
      <c r="B155" s="38">
        <v>42552</v>
      </c>
      <c r="C155" t="s" s="39">
        <v>775</v>
      </c>
      <c r="D155" t="s" s="39">
        <v>827</v>
      </c>
      <c r="E155" s="40">
        <v>406153</v>
      </c>
      <c r="F155" s="44">
        <f>E155*0.19</f>
        <v>77169.070000000007</v>
      </c>
      <c r="G155" s="45">
        <f>E155+F155</f>
        <v>483322.07</v>
      </c>
      <c r="H155" s="17">
        <f>IF(I155=TRUE(),E155,0)</f>
        <v>406153</v>
      </c>
      <c r="I155" t="b" s="18">
        <v>1</v>
      </c>
    </row>
    <row r="156" ht="18" customHeight="1">
      <c r="A156" s="37">
        <v>138</v>
      </c>
      <c r="B156" s="38">
        <v>42552</v>
      </c>
      <c r="C156" t="s" s="39">
        <v>793</v>
      </c>
      <c r="D156" t="s" s="39">
        <v>825</v>
      </c>
      <c r="E156" s="40">
        <v>91152</v>
      </c>
      <c r="F156" s="44">
        <f>E156*0.19</f>
        <v>17318.88</v>
      </c>
      <c r="G156" s="45">
        <f>E156+F156</f>
        <v>108470.88</v>
      </c>
      <c r="H156" s="17">
        <f>IF(I156=TRUE(),E156,0)</f>
        <v>91152</v>
      </c>
      <c r="I156" t="b" s="18">
        <v>1</v>
      </c>
    </row>
    <row r="157" ht="18" customHeight="1">
      <c r="A157" s="37">
        <v>139</v>
      </c>
      <c r="B157" s="38">
        <v>42552</v>
      </c>
      <c r="C157" t="s" s="39">
        <v>822</v>
      </c>
      <c r="D157" t="s" s="39">
        <v>865</v>
      </c>
      <c r="E157" s="40">
        <v>151300</v>
      </c>
      <c r="F157" s="44">
        <f>E157*0.19</f>
        <v>28747</v>
      </c>
      <c r="G157" s="45">
        <f>E157+F157</f>
        <v>180047</v>
      </c>
      <c r="H157" s="17">
        <f>IF(I157=TRUE(),E157,0)</f>
        <v>151300</v>
      </c>
      <c r="I157" t="b" s="18">
        <v>1</v>
      </c>
    </row>
    <row r="158" ht="18" customHeight="1">
      <c r="A158" s="37">
        <v>140</v>
      </c>
      <c r="B158" s="38">
        <v>42552</v>
      </c>
      <c r="C158" t="s" s="39">
        <v>778</v>
      </c>
      <c r="D158" t="s" s="39">
        <v>828</v>
      </c>
      <c r="E158" s="40">
        <v>215789</v>
      </c>
      <c r="F158" s="44">
        <f>E158*0.19</f>
        <v>40999.91</v>
      </c>
      <c r="G158" s="45">
        <f>E158+F158</f>
        <v>256788.91</v>
      </c>
      <c r="H158" s="17">
        <f>IF(I158=TRUE(),E158,0)</f>
        <v>215789</v>
      </c>
      <c r="I158" t="b" s="18">
        <v>1</v>
      </c>
    </row>
    <row r="159" ht="18" customHeight="1">
      <c r="A159" s="37">
        <v>141</v>
      </c>
      <c r="B159" s="38">
        <v>42552</v>
      </c>
      <c r="C159" t="s" s="39">
        <v>777</v>
      </c>
      <c r="D159" t="s" s="39">
        <v>882</v>
      </c>
      <c r="E159" s="40">
        <v>302599</v>
      </c>
      <c r="F159" s="44">
        <f>E159*0.19</f>
        <v>57493.81</v>
      </c>
      <c r="G159" s="45">
        <f>E159+F159</f>
        <v>360092.81</v>
      </c>
      <c r="H159" s="17">
        <f>IF(I159=TRUE(),E159,0)</f>
        <v>302599</v>
      </c>
      <c r="I159" t="b" s="18">
        <v>1</v>
      </c>
    </row>
    <row r="160" ht="18" customHeight="1">
      <c r="A160" s="37">
        <v>142</v>
      </c>
      <c r="B160" s="38">
        <v>42552</v>
      </c>
      <c r="C160" t="s" s="39">
        <v>777</v>
      </c>
      <c r="D160" t="s" s="39">
        <v>883</v>
      </c>
      <c r="E160" s="40">
        <v>102314</v>
      </c>
      <c r="F160" s="44">
        <f>E160*0.19</f>
        <v>19439.66</v>
      </c>
      <c r="G160" s="45">
        <f>E160+F160</f>
        <v>121753.66</v>
      </c>
      <c r="H160" s="17">
        <f>IF(I160=TRUE(),E160,0)</f>
        <v>102314</v>
      </c>
      <c r="I160" t="b" s="18">
        <v>1</v>
      </c>
    </row>
    <row r="161" ht="18" customHeight="1">
      <c r="A161" s="37">
        <v>143</v>
      </c>
      <c r="B161" s="38">
        <v>42552</v>
      </c>
      <c r="C161" t="s" s="39">
        <v>777</v>
      </c>
      <c r="D161" t="s" s="39">
        <v>884</v>
      </c>
      <c r="E161" s="40">
        <v>24803</v>
      </c>
      <c r="F161" s="44">
        <f>E161*0.19</f>
        <v>4712.57</v>
      </c>
      <c r="G161" s="45">
        <f>E161+F161</f>
        <v>29515.57</v>
      </c>
      <c r="H161" s="17">
        <f>IF(I161=TRUE(),E161,0)</f>
        <v>24803</v>
      </c>
      <c r="I161" t="b" s="18">
        <v>1</v>
      </c>
    </row>
    <row r="162" ht="18" customHeight="1">
      <c r="A162" s="37">
        <v>144</v>
      </c>
      <c r="B162" s="38">
        <v>42552</v>
      </c>
      <c r="C162" t="s" s="39">
        <v>777</v>
      </c>
      <c r="D162" t="s" s="39">
        <v>885</v>
      </c>
      <c r="E162" s="40">
        <v>49606</v>
      </c>
      <c r="F162" s="44">
        <f>E162*0.19</f>
        <v>9425.139999999999</v>
      </c>
      <c r="G162" s="45">
        <f>E162+F162</f>
        <v>59031.14</v>
      </c>
      <c r="H162" s="17">
        <f>IF(I162=TRUE(),E162,0)</f>
        <v>49606</v>
      </c>
      <c r="I162" t="b" s="18">
        <v>1</v>
      </c>
    </row>
    <row r="163" ht="18" customHeight="1">
      <c r="A163" s="37">
        <v>145</v>
      </c>
      <c r="B163" s="38">
        <v>42576</v>
      </c>
      <c r="C163" t="s" s="39">
        <v>769</v>
      </c>
      <c r="D163" t="s" s="39">
        <v>770</v>
      </c>
      <c r="E163" s="40">
        <v>630105</v>
      </c>
      <c r="F163" s="44">
        <f>E163*0.19</f>
        <v>119719.95</v>
      </c>
      <c r="G163" s="45">
        <f>E163+F163</f>
        <v>749824.95</v>
      </c>
      <c r="H163" s="17">
        <f>IF(I163=TRUE(),E163,0)</f>
        <v>0</v>
      </c>
      <c r="I163" t="b" s="18">
        <v>0</v>
      </c>
    </row>
    <row r="164" ht="18" customHeight="1">
      <c r="A164" s="37">
        <v>146</v>
      </c>
      <c r="B164" s="38">
        <v>42552</v>
      </c>
      <c r="C164" t="s" s="39">
        <v>886</v>
      </c>
      <c r="D164" t="s" s="39">
        <v>882</v>
      </c>
      <c r="E164" s="40">
        <v>232531</v>
      </c>
      <c r="F164" s="44">
        <f>E164*0.19</f>
        <v>44180.89</v>
      </c>
      <c r="G164" s="45">
        <f>E164+F164</f>
        <v>276711.89</v>
      </c>
      <c r="H164" s="17">
        <f>IF(I164=TRUE(),E164,0)</f>
        <v>232531</v>
      </c>
      <c r="I164" t="b" s="18">
        <v>1</v>
      </c>
    </row>
    <row r="165" ht="18" customHeight="1">
      <c r="A165" s="46">
        <v>147</v>
      </c>
      <c r="B165" s="47">
        <v>42552</v>
      </c>
      <c r="C165" t="s" s="48">
        <v>886</v>
      </c>
      <c r="D165" t="s" s="48">
        <v>612</v>
      </c>
      <c r="E165" s="49">
        <v>411026</v>
      </c>
      <c r="F165" s="44">
        <f>E165*0.19</f>
        <v>78094.94</v>
      </c>
      <c r="G165" s="45">
        <f>E165+F165</f>
        <v>489120.94</v>
      </c>
      <c r="H165" s="17">
        <f>IF(I165=TRUE(),E165,0)</f>
        <v>0</v>
      </c>
      <c r="I165" t="b" s="18">
        <v>0</v>
      </c>
    </row>
    <row r="166" ht="18" customHeight="1">
      <c r="A166" s="18">
        <f>COUNT(A152:A165)</f>
        <v>14</v>
      </c>
      <c r="B166" t="s" s="50">
        <v>887</v>
      </c>
      <c r="C166" t="s" s="14">
        <v>7</v>
      </c>
      <c r="D166" s="14"/>
      <c r="E166" s="51">
        <f>SUM(E152:E165)</f>
        <v>3138301</v>
      </c>
      <c r="F166" s="51">
        <f>SUM(F152:F165)</f>
        <v>596277.1899999999</v>
      </c>
      <c r="G166" s="45">
        <f>SUM(G152:G165)</f>
        <v>3734578.189999999</v>
      </c>
      <c r="H166" s="17">
        <f>SUM(H152:H165)</f>
        <v>1576247</v>
      </c>
      <c r="I166" s="18">
        <f>COUNTIF(I152:I165,TRUE())</f>
        <v>9</v>
      </c>
    </row>
    <row r="167" ht="18" customHeight="1">
      <c r="A167" s="52"/>
      <c r="B167" s="53"/>
      <c r="C167" s="52"/>
      <c r="D167" s="52"/>
      <c r="E167" s="54"/>
      <c r="F167" s="44"/>
      <c r="G167" s="45"/>
      <c r="H167" s="17"/>
      <c r="I167" s="19"/>
    </row>
    <row r="168" ht="18" customHeight="1">
      <c r="A168" s="37">
        <v>148</v>
      </c>
      <c r="B168" s="38">
        <v>42583</v>
      </c>
      <c r="C168" t="s" s="39">
        <v>778</v>
      </c>
      <c r="D168" t="s" s="39">
        <v>888</v>
      </c>
      <c r="E168" s="40">
        <v>216543</v>
      </c>
      <c r="F168" s="44">
        <f>E168*0.19</f>
        <v>41143.17</v>
      </c>
      <c r="G168" s="45">
        <f>E168+F168</f>
        <v>257686.17</v>
      </c>
      <c r="H168" s="17">
        <f>IF(I168=TRUE(),E168,0)</f>
        <v>216543</v>
      </c>
      <c r="I168" t="b" s="18">
        <v>1</v>
      </c>
    </row>
    <row r="169" ht="18" customHeight="1">
      <c r="A169" s="37">
        <v>149</v>
      </c>
      <c r="B169" s="38">
        <v>42583</v>
      </c>
      <c r="C169" t="s" s="39">
        <v>778</v>
      </c>
      <c r="D169" t="s" s="39">
        <v>889</v>
      </c>
      <c r="E169" s="40">
        <v>383775</v>
      </c>
      <c r="F169" s="44">
        <f>E169*0.19</f>
        <v>72917.25</v>
      </c>
      <c r="G169" s="45">
        <f>E169+F169</f>
        <v>456692.25</v>
      </c>
      <c r="H169" s="17">
        <f>IF(I169=TRUE(),E169,0)</f>
        <v>0</v>
      </c>
      <c r="I169" t="b" s="18">
        <v>0</v>
      </c>
    </row>
    <row r="170" ht="18" customHeight="1">
      <c r="A170" s="37">
        <v>150</v>
      </c>
      <c r="B170" s="38">
        <v>42583</v>
      </c>
      <c r="C170" t="s" s="39">
        <v>890</v>
      </c>
      <c r="D170" t="s" s="39">
        <v>891</v>
      </c>
      <c r="E170" s="40">
        <v>311126</v>
      </c>
      <c r="F170" s="44">
        <f>E170*0.19</f>
        <v>59113.94</v>
      </c>
      <c r="G170" s="45">
        <f>E170+F170</f>
        <v>370239.94</v>
      </c>
      <c r="H170" s="17">
        <f>IF(I170=TRUE(),E170,0)</f>
        <v>311126</v>
      </c>
      <c r="I170" t="b" s="18">
        <v>1</v>
      </c>
    </row>
    <row r="171" ht="18" customHeight="1">
      <c r="A171" s="37">
        <v>151</v>
      </c>
      <c r="B171" s="38">
        <v>42583</v>
      </c>
      <c r="C171" t="s" s="39">
        <v>777</v>
      </c>
      <c r="D171" t="s" s="39">
        <v>888</v>
      </c>
      <c r="E171" s="40">
        <v>303658</v>
      </c>
      <c r="F171" s="44">
        <f>E171*0.19</f>
        <v>57695.02</v>
      </c>
      <c r="G171" s="45">
        <f>E171+F171</f>
        <v>361353.02</v>
      </c>
      <c r="H171" s="17">
        <f>IF(I171=TRUE(),E171,0)</f>
        <v>303658</v>
      </c>
      <c r="I171" t="b" s="18">
        <v>1</v>
      </c>
    </row>
    <row r="172" ht="18" customHeight="1">
      <c r="A172" s="37">
        <v>152</v>
      </c>
      <c r="B172" s="38">
        <v>42583</v>
      </c>
      <c r="C172" t="s" s="39">
        <v>777</v>
      </c>
      <c r="D172" t="s" s="39">
        <v>892</v>
      </c>
      <c r="E172" s="40">
        <v>102672</v>
      </c>
      <c r="F172" s="44">
        <f>E172*0.19</f>
        <v>19507.68</v>
      </c>
      <c r="G172" s="45">
        <f>E172+F172</f>
        <v>122179.68</v>
      </c>
      <c r="H172" s="17">
        <f>IF(I172=TRUE(),E172,0)</f>
        <v>102672</v>
      </c>
      <c r="I172" t="b" s="18">
        <v>1</v>
      </c>
    </row>
    <row r="173" ht="18" customHeight="1">
      <c r="A173" s="37">
        <v>153</v>
      </c>
      <c r="B173" s="38">
        <v>42583</v>
      </c>
      <c r="C173" t="s" s="39">
        <v>777</v>
      </c>
      <c r="D173" t="s" s="39">
        <v>893</v>
      </c>
      <c r="E173" s="40">
        <v>24890</v>
      </c>
      <c r="F173" s="44">
        <f>E173*0.19</f>
        <v>4729.1</v>
      </c>
      <c r="G173" s="45">
        <f>E173+F173</f>
        <v>29619.1</v>
      </c>
      <c r="H173" s="17">
        <f>IF(I173=TRUE(),E173,0)</f>
        <v>24890</v>
      </c>
      <c r="I173" t="b" s="18">
        <v>1</v>
      </c>
    </row>
    <row r="174" ht="18" customHeight="1">
      <c r="A174" s="37">
        <v>154</v>
      </c>
      <c r="B174" s="38">
        <v>42583</v>
      </c>
      <c r="C174" t="s" s="39">
        <v>777</v>
      </c>
      <c r="D174" t="s" s="39">
        <v>894</v>
      </c>
      <c r="E174" s="40">
        <v>711620</v>
      </c>
      <c r="F174" s="44">
        <f>E174*0.19</f>
        <v>135207.8</v>
      </c>
      <c r="G174" s="45">
        <f>E174+F174</f>
        <v>846827.8</v>
      </c>
      <c r="H174" s="17">
        <f>IF(I174=TRUE(),E174,0)</f>
        <v>0</v>
      </c>
      <c r="I174" t="b" s="18">
        <v>0</v>
      </c>
    </row>
    <row r="175" ht="18" customHeight="1">
      <c r="A175" s="37">
        <v>155</v>
      </c>
      <c r="B175" s="38">
        <v>42583</v>
      </c>
      <c r="C175" t="s" s="39">
        <v>777</v>
      </c>
      <c r="D175" t="s" s="39">
        <v>880</v>
      </c>
      <c r="E175" s="40">
        <v>89250</v>
      </c>
      <c r="F175" s="44">
        <f>E175*0.19</f>
        <v>16957.5</v>
      </c>
      <c r="G175" s="45">
        <f>E175+F175</f>
        <v>106207.5</v>
      </c>
      <c r="H175" s="17">
        <f>IF(I175=TRUE(),E175,0)</f>
        <v>0</v>
      </c>
      <c r="I175" t="b" s="18">
        <v>0</v>
      </c>
    </row>
    <row r="176" ht="18" customHeight="1">
      <c r="A176" s="37">
        <v>156</v>
      </c>
      <c r="B176" s="38">
        <v>42583</v>
      </c>
      <c r="C176" t="s" s="39">
        <v>886</v>
      </c>
      <c r="D176" t="s" s="39">
        <v>895</v>
      </c>
      <c r="E176" s="40">
        <v>233345</v>
      </c>
      <c r="F176" s="44">
        <f>E176*0.19</f>
        <v>44335.55</v>
      </c>
      <c r="G176" s="45">
        <f>E176+F176</f>
        <v>277680.55</v>
      </c>
      <c r="H176" s="17">
        <f>IF(I176=TRUE(),E176,0)</f>
        <v>233345</v>
      </c>
      <c r="I176" t="b" s="18">
        <v>1</v>
      </c>
    </row>
    <row r="177" ht="18" customHeight="1">
      <c r="A177" s="37">
        <v>157</v>
      </c>
      <c r="B177" s="38">
        <v>42583</v>
      </c>
      <c r="C177" t="s" s="39">
        <v>896</v>
      </c>
      <c r="D177" t="s" s="39">
        <v>897</v>
      </c>
      <c r="E177" s="40">
        <v>121725</v>
      </c>
      <c r="F177" s="44">
        <f>E177*0.19</f>
        <v>23127.75</v>
      </c>
      <c r="G177" s="45">
        <f>E177+F177</f>
        <v>144852.75</v>
      </c>
      <c r="H177" s="17">
        <f>IF(I177=TRUE(),E177,0)</f>
        <v>0</v>
      </c>
      <c r="I177" t="b" s="18">
        <v>0</v>
      </c>
    </row>
    <row r="178" ht="18" customHeight="1">
      <c r="A178" s="37">
        <v>158</v>
      </c>
      <c r="B178" s="38">
        <v>42583</v>
      </c>
      <c r="C178" t="s" s="39">
        <v>898</v>
      </c>
      <c r="D178" t="s" s="39">
        <v>770</v>
      </c>
      <c r="E178" s="40">
        <v>631890</v>
      </c>
      <c r="F178" s="44">
        <f>E178*0.19</f>
        <v>120059.1</v>
      </c>
      <c r="G178" s="45">
        <f>E178+F178</f>
        <v>751949.1</v>
      </c>
      <c r="H178" s="17">
        <f>IF(I178=TRUE(),E178,0)</f>
        <v>0</v>
      </c>
      <c r="I178" t="b" s="18">
        <v>0</v>
      </c>
    </row>
    <row r="179" ht="18" customHeight="1">
      <c r="A179" s="37">
        <v>159</v>
      </c>
      <c r="B179" s="38">
        <v>42583</v>
      </c>
      <c r="C179" t="s" s="39">
        <v>775</v>
      </c>
      <c r="D179" t="s" s="39">
        <v>891</v>
      </c>
      <c r="E179" s="40">
        <v>407575</v>
      </c>
      <c r="F179" s="44">
        <f>E179*0.19</f>
        <v>77439.25</v>
      </c>
      <c r="G179" s="45">
        <f>E179+F179</f>
        <v>485014.25</v>
      </c>
      <c r="H179" s="17">
        <f>IF(I179=TRUE(),E179,0)</f>
        <v>407575</v>
      </c>
      <c r="I179" t="b" s="18">
        <v>1</v>
      </c>
    </row>
    <row r="180" ht="18" customHeight="1">
      <c r="A180" s="37">
        <v>160</v>
      </c>
      <c r="B180" s="38">
        <v>42583</v>
      </c>
      <c r="C180" t="s" s="39">
        <v>899</v>
      </c>
      <c r="D180" t="s" s="39">
        <v>9</v>
      </c>
      <c r="E180" s="40">
        <v>91471</v>
      </c>
      <c r="F180" s="44">
        <f>E180*0.19</f>
        <v>17379.49</v>
      </c>
      <c r="G180" s="45">
        <f>E180+F180</f>
        <v>108850.49</v>
      </c>
      <c r="H180" s="17">
        <f>IF(I180=TRUE(),E180,0)</f>
        <v>91471</v>
      </c>
      <c r="I180" t="b" s="18">
        <v>1</v>
      </c>
    </row>
    <row r="181" ht="18" customHeight="1">
      <c r="A181" s="37">
        <v>161</v>
      </c>
      <c r="B181" s="38">
        <v>42583</v>
      </c>
      <c r="C181" t="s" s="39">
        <v>900</v>
      </c>
      <c r="D181" t="s" s="39">
        <v>888</v>
      </c>
      <c r="E181" s="40">
        <v>151830</v>
      </c>
      <c r="F181" s="44">
        <f>E181*0.19</f>
        <v>28847.7</v>
      </c>
      <c r="G181" s="45">
        <f>E181+F181</f>
        <v>180677.7</v>
      </c>
      <c r="H181" s="17">
        <f>IF(I181=TRUE(),E181,0)</f>
        <v>151830</v>
      </c>
      <c r="I181" t="b" s="18">
        <v>1</v>
      </c>
    </row>
    <row r="182" ht="18" customHeight="1">
      <c r="A182" s="37">
        <v>162</v>
      </c>
      <c r="B182" s="38">
        <v>42598</v>
      </c>
      <c r="C182" t="s" s="39">
        <v>901</v>
      </c>
      <c r="D182" t="s" s="39">
        <v>902</v>
      </c>
      <c r="E182" s="40">
        <v>889819</v>
      </c>
      <c r="F182" s="44">
        <f>E182*0.19</f>
        <v>169065.61</v>
      </c>
      <c r="G182" s="45">
        <f>E182+F182</f>
        <v>1058884.61</v>
      </c>
      <c r="H182" s="17">
        <f>IF(I182=TRUE(),E182,0)</f>
        <v>889819</v>
      </c>
      <c r="I182" t="b" s="18">
        <v>1</v>
      </c>
    </row>
    <row r="183" ht="18" customHeight="1">
      <c r="A183" s="37">
        <v>163</v>
      </c>
      <c r="B183" s="38">
        <v>42600</v>
      </c>
      <c r="C183" t="s" s="39">
        <v>903</v>
      </c>
      <c r="D183" s="42"/>
      <c r="E183" s="40">
        <v>456960</v>
      </c>
      <c r="F183" s="44">
        <f>E183*0.19</f>
        <v>86822.399999999994</v>
      </c>
      <c r="G183" s="45">
        <f>E183+F183</f>
        <v>543782.4</v>
      </c>
      <c r="H183" s="17">
        <f>IF(I183=TRUE(),E183,0)</f>
        <v>0</v>
      </c>
      <c r="I183" t="b" s="18">
        <v>0</v>
      </c>
    </row>
    <row r="184" ht="18" customHeight="1">
      <c r="A184" s="37">
        <v>164</v>
      </c>
      <c r="B184" s="38">
        <v>42600</v>
      </c>
      <c r="C184" t="s" s="39">
        <v>848</v>
      </c>
      <c r="D184" t="s" s="39">
        <v>904</v>
      </c>
      <c r="E184" s="40">
        <v>971040</v>
      </c>
      <c r="F184" s="44">
        <f>E184*0.19</f>
        <v>184497.6</v>
      </c>
      <c r="G184" s="45">
        <f>E184+F184</f>
        <v>1155537.6</v>
      </c>
      <c r="H184" s="17">
        <f>IF(I184=TRUE(),E184,0)</f>
        <v>971040</v>
      </c>
      <c r="I184" t="b" s="18">
        <v>1</v>
      </c>
    </row>
    <row r="185" ht="18" customHeight="1">
      <c r="A185" s="37">
        <v>165</v>
      </c>
      <c r="B185" s="38">
        <v>42600</v>
      </c>
      <c r="C185" t="s" s="39">
        <v>852</v>
      </c>
      <c r="D185" t="s" s="39">
        <v>905</v>
      </c>
      <c r="E185" s="40">
        <v>399840</v>
      </c>
      <c r="F185" s="44">
        <f>E185*0.19</f>
        <v>75969.600000000006</v>
      </c>
      <c r="G185" s="45">
        <f>E185+F185</f>
        <v>475809.6</v>
      </c>
      <c r="H185" s="17">
        <f>IF(I185=TRUE(),E185,0)</f>
        <v>399840</v>
      </c>
      <c r="I185" t="b" s="18">
        <v>1</v>
      </c>
    </row>
    <row r="186" ht="18" customHeight="1">
      <c r="A186" s="37">
        <v>166</v>
      </c>
      <c r="B186" s="38">
        <v>42604</v>
      </c>
      <c r="C186" t="s" s="39">
        <v>901</v>
      </c>
      <c r="D186" t="s" s="39">
        <v>902</v>
      </c>
      <c r="E186" s="40">
        <v>308591</v>
      </c>
      <c r="F186" s="44">
        <f>E186*0.19</f>
        <v>58632.29</v>
      </c>
      <c r="G186" s="45">
        <f>E186+F186</f>
        <v>367223.29</v>
      </c>
      <c r="H186" s="17">
        <f>IF(I186=TRUE(),E186,0)</f>
        <v>308591</v>
      </c>
      <c r="I186" t="b" s="18">
        <v>1</v>
      </c>
    </row>
    <row r="187" ht="18" customHeight="1">
      <c r="A187" s="37">
        <v>167</v>
      </c>
      <c r="B187" s="38">
        <v>42585</v>
      </c>
      <c r="C187" t="s" s="39">
        <v>769</v>
      </c>
      <c r="D187" t="s" s="39">
        <v>906</v>
      </c>
      <c r="E187" s="40">
        <v>360189</v>
      </c>
      <c r="F187" s="44">
        <f>E187*0.19</f>
        <v>68435.91</v>
      </c>
      <c r="G187" s="45">
        <f>E187+F187</f>
        <v>428624.91</v>
      </c>
      <c r="H187" s="17">
        <f>IF(I187=TRUE(),E187,0)</f>
        <v>0</v>
      </c>
      <c r="I187" t="b" s="18">
        <v>0</v>
      </c>
    </row>
    <row r="188" ht="18" customHeight="1">
      <c r="A188" s="37">
        <v>168</v>
      </c>
      <c r="B188" t="s" s="39">
        <v>9</v>
      </c>
      <c r="C188" t="s" s="39">
        <v>787</v>
      </c>
      <c r="D188" t="s" s="39">
        <v>907</v>
      </c>
      <c r="E188" s="40">
        <v>124450</v>
      </c>
      <c r="F188" s="44">
        <f>E188*0.19</f>
        <v>23645.5</v>
      </c>
      <c r="G188" s="45">
        <f>E188+F188</f>
        <v>148095.5</v>
      </c>
      <c r="H188" s="17">
        <f>IF(I188=TRUE(),E188,0)</f>
        <v>124450</v>
      </c>
      <c r="I188" t="b" s="18">
        <v>1</v>
      </c>
    </row>
    <row r="189" ht="18" customHeight="1">
      <c r="A189" s="37">
        <v>169</v>
      </c>
      <c r="B189" s="38">
        <v>42613</v>
      </c>
      <c r="C189" t="s" s="39">
        <v>777</v>
      </c>
      <c r="D189" t="s" s="39">
        <v>908</v>
      </c>
      <c r="E189" s="40">
        <v>956760</v>
      </c>
      <c r="F189" s="44">
        <f>E189*0.19</f>
        <v>181784.4</v>
      </c>
      <c r="G189" s="45">
        <f>E189+F189</f>
        <v>1138544.4</v>
      </c>
      <c r="H189" s="17">
        <f>IF(I189=TRUE(),E189,0)</f>
        <v>0</v>
      </c>
      <c r="I189" t="b" s="18">
        <v>0</v>
      </c>
    </row>
    <row r="190" ht="18" customHeight="1">
      <c r="A190" s="37">
        <v>170</v>
      </c>
      <c r="B190" s="38">
        <v>42608</v>
      </c>
      <c r="C190" t="s" s="39">
        <v>769</v>
      </c>
      <c r="D190" t="s" s="39">
        <v>9</v>
      </c>
      <c r="E190" s="40">
        <v>538041</v>
      </c>
      <c r="F190" s="44">
        <f>E190*0.19</f>
        <v>102227.79</v>
      </c>
      <c r="G190" s="45">
        <f>E190+F190</f>
        <v>640268.79</v>
      </c>
      <c r="H190" s="17">
        <f>IF(I190=TRUE(),E190,0)</f>
        <v>538041</v>
      </c>
      <c r="I190" t="b" s="18">
        <v>1</v>
      </c>
    </row>
    <row r="191" ht="18" customHeight="1">
      <c r="A191" s="37">
        <v>171</v>
      </c>
      <c r="B191" s="38">
        <v>42608</v>
      </c>
      <c r="C191" t="s" s="39">
        <v>769</v>
      </c>
      <c r="D191" t="s" s="39">
        <v>9</v>
      </c>
      <c r="E191" s="40">
        <v>536163</v>
      </c>
      <c r="F191" s="44">
        <f>E191*0.19</f>
        <v>101870.97</v>
      </c>
      <c r="G191" s="45">
        <f>E191+F191</f>
        <v>638033.97</v>
      </c>
      <c r="H191" s="17">
        <f>IF(I191=TRUE(),E191,0)</f>
        <v>536163</v>
      </c>
      <c r="I191" t="b" s="18">
        <v>1</v>
      </c>
    </row>
    <row r="192" ht="18" customHeight="1">
      <c r="A192" s="37">
        <v>172</v>
      </c>
      <c r="B192" s="38">
        <v>42608</v>
      </c>
      <c r="C192" t="s" s="39">
        <v>769</v>
      </c>
      <c r="D192" t="s" s="39">
        <v>9</v>
      </c>
      <c r="E192" s="40">
        <v>32130</v>
      </c>
      <c r="F192" s="44">
        <f>E192*0.19</f>
        <v>6104.7</v>
      </c>
      <c r="G192" s="45">
        <f>E192+F192</f>
        <v>38234.7</v>
      </c>
      <c r="H192" s="17">
        <f>IF(I192=TRUE(),E192,0)</f>
        <v>32130</v>
      </c>
      <c r="I192" t="b" s="18">
        <v>1</v>
      </c>
    </row>
    <row r="193" ht="18" customHeight="1">
      <c r="A193" s="37">
        <v>173</v>
      </c>
      <c r="B193" s="38">
        <v>42608</v>
      </c>
      <c r="C193" t="s" s="39">
        <v>769</v>
      </c>
      <c r="D193" t="s" s="39">
        <v>9</v>
      </c>
      <c r="E193" s="40">
        <v>618219</v>
      </c>
      <c r="F193" s="44">
        <f>E193*0.19</f>
        <v>117461.61</v>
      </c>
      <c r="G193" s="45">
        <f>E193+F193</f>
        <v>735680.61</v>
      </c>
      <c r="H193" s="17">
        <f>IF(I193=TRUE(),E193,0)</f>
        <v>618219</v>
      </c>
      <c r="I193" t="b" s="18">
        <v>1</v>
      </c>
    </row>
    <row r="194" ht="18" customHeight="1">
      <c r="A194" s="37">
        <v>174</v>
      </c>
      <c r="B194" s="38">
        <v>42608</v>
      </c>
      <c r="C194" t="s" s="39">
        <v>769</v>
      </c>
      <c r="D194" t="s" s="39">
        <v>9</v>
      </c>
      <c r="E194" s="40">
        <v>620386</v>
      </c>
      <c r="F194" s="44">
        <f>E194*0.19</f>
        <v>117873.34</v>
      </c>
      <c r="G194" s="45">
        <f>E194+F194</f>
        <v>738259.34</v>
      </c>
      <c r="H194" s="17">
        <f>IF(I194=TRUE(),E194,0)</f>
        <v>620386</v>
      </c>
      <c r="I194" t="b" s="18">
        <v>1</v>
      </c>
    </row>
    <row r="195" ht="18" customHeight="1">
      <c r="A195" s="46">
        <v>175</v>
      </c>
      <c r="B195" s="47">
        <v>42583</v>
      </c>
      <c r="C195" t="s" s="48">
        <v>909</v>
      </c>
      <c r="D195" t="s" s="48">
        <v>9</v>
      </c>
      <c r="E195" s="49">
        <v>590455</v>
      </c>
      <c r="F195" s="44">
        <f>E195*0.19</f>
        <v>112186.45</v>
      </c>
      <c r="G195" s="45">
        <f>E195+F195</f>
        <v>702641.45</v>
      </c>
      <c r="H195" s="17">
        <f>IF(I195=TRUE(),E195,0)</f>
        <v>590455</v>
      </c>
      <c r="I195" t="b" s="18">
        <v>1</v>
      </c>
    </row>
    <row r="196" ht="18" customHeight="1">
      <c r="A196" s="18">
        <f>COUNT(A168:A195)</f>
        <v>28</v>
      </c>
      <c r="B196" t="s" s="50">
        <v>910</v>
      </c>
      <c r="C196" t="s" s="14">
        <v>7</v>
      </c>
      <c r="D196" s="14"/>
      <c r="E196" s="51">
        <f>SUM(E168:E195)</f>
        <v>11184413</v>
      </c>
      <c r="F196" s="51">
        <f>SUM(F168:F195)</f>
        <v>2125038.47</v>
      </c>
      <c r="G196" s="45">
        <f>SUM(G168:G195)</f>
        <v>13309451.47</v>
      </c>
      <c r="H196" s="17">
        <f>SUM(H168:H195)</f>
        <v>7472244</v>
      </c>
      <c r="I196" s="18">
        <f>COUNTIF(I168:I195,TRUE())</f>
        <v>20</v>
      </c>
    </row>
    <row r="197" ht="18" customHeight="1">
      <c r="A197" s="52"/>
      <c r="B197" s="53"/>
      <c r="C197" s="52"/>
      <c r="D197" s="52"/>
      <c r="E197" s="54"/>
      <c r="F197" s="44"/>
      <c r="G197" s="45"/>
      <c r="H197" s="17"/>
      <c r="I197" s="19"/>
    </row>
    <row r="198" ht="18" customHeight="1">
      <c r="A198" s="37">
        <v>176</v>
      </c>
      <c r="B198" s="38">
        <v>42626</v>
      </c>
      <c r="C198" t="s" s="39">
        <v>769</v>
      </c>
      <c r="D198" t="s" s="39">
        <v>9</v>
      </c>
      <c r="E198" s="40">
        <v>539391</v>
      </c>
      <c r="F198" s="44">
        <f>E198*0.19</f>
        <v>102484.29</v>
      </c>
      <c r="G198" s="45">
        <f>E198+F198</f>
        <v>641875.29</v>
      </c>
      <c r="H198" s="17">
        <f>IF(I198=TRUE(),E198,0)</f>
        <v>539391</v>
      </c>
      <c r="I198" t="b" s="18">
        <v>1</v>
      </c>
    </row>
    <row r="199" ht="18" customHeight="1">
      <c r="A199" s="37">
        <v>177</v>
      </c>
      <c r="B199" s="38">
        <v>42625</v>
      </c>
      <c r="C199" t="s" s="39">
        <v>769</v>
      </c>
      <c r="D199" t="s" s="39">
        <v>9</v>
      </c>
      <c r="E199" s="40">
        <v>621946</v>
      </c>
      <c r="F199" s="44">
        <f>E199*0.19</f>
        <v>118169.74</v>
      </c>
      <c r="G199" s="45">
        <f>E199+F199</f>
        <v>740115.74</v>
      </c>
      <c r="H199" s="17">
        <f>IF(I199=TRUE(),E199,0)</f>
        <v>621946</v>
      </c>
      <c r="I199" t="b" s="18">
        <v>1</v>
      </c>
    </row>
    <row r="200" ht="18" customHeight="1">
      <c r="A200" s="37">
        <v>178</v>
      </c>
      <c r="B200" s="38">
        <v>42626</v>
      </c>
      <c r="C200" t="s" s="39">
        <v>769</v>
      </c>
      <c r="D200" t="s" s="39">
        <v>911</v>
      </c>
      <c r="E200" s="40">
        <v>119000</v>
      </c>
      <c r="F200" s="44">
        <f>E200*0.19</f>
        <v>22610</v>
      </c>
      <c r="G200" s="45">
        <f>E200+F200</f>
        <v>141610</v>
      </c>
      <c r="H200" s="17">
        <f>IF(I200=TRUE(),E200,0)</f>
        <v>0</v>
      </c>
      <c r="I200" t="b" s="18">
        <v>0</v>
      </c>
    </row>
    <row r="201" ht="18" customHeight="1">
      <c r="A201" s="37">
        <v>179</v>
      </c>
      <c r="B201" s="38">
        <v>42626</v>
      </c>
      <c r="C201" t="s" s="39">
        <v>769</v>
      </c>
      <c r="D201" t="s" s="39">
        <v>50</v>
      </c>
      <c r="E201" s="40">
        <v>41650</v>
      </c>
      <c r="F201" s="44">
        <f>E201*0.19</f>
        <v>7913.5</v>
      </c>
      <c r="G201" s="45">
        <f>E201+F201</f>
        <v>49563.5</v>
      </c>
      <c r="H201" s="17">
        <f>IF(I201=TRUE(),E201,0)</f>
        <v>41650</v>
      </c>
      <c r="I201" t="b" s="18">
        <v>1</v>
      </c>
    </row>
    <row r="202" ht="18" customHeight="1">
      <c r="A202" s="37">
        <v>180</v>
      </c>
      <c r="B202" s="38">
        <v>42614</v>
      </c>
      <c r="C202" t="s" s="39">
        <v>886</v>
      </c>
      <c r="D202" t="s" s="39">
        <v>912</v>
      </c>
      <c r="E202" s="40">
        <v>233931</v>
      </c>
      <c r="F202" s="44">
        <f>E202*0.19</f>
        <v>44446.89</v>
      </c>
      <c r="G202" s="45">
        <f>E202+F202</f>
        <v>278377.89</v>
      </c>
      <c r="H202" s="17">
        <f>IF(I202=TRUE(),E202,0)</f>
        <v>233931</v>
      </c>
      <c r="I202" t="b" s="18">
        <v>1</v>
      </c>
    </row>
    <row r="203" ht="18" customHeight="1">
      <c r="A203" s="37">
        <v>181</v>
      </c>
      <c r="B203" s="38">
        <v>42614</v>
      </c>
      <c r="C203" t="s" s="39">
        <v>775</v>
      </c>
      <c r="D203" t="s" s="39">
        <v>891</v>
      </c>
      <c r="E203" s="40">
        <v>408600</v>
      </c>
      <c r="F203" s="44">
        <f>E203*0.19</f>
        <v>77634</v>
      </c>
      <c r="G203" s="45">
        <f>E203+F203</f>
        <v>486234</v>
      </c>
      <c r="H203" s="17">
        <f>IF(I203=TRUE(),E203,0)</f>
        <v>408600</v>
      </c>
      <c r="I203" t="b" s="18">
        <v>1</v>
      </c>
    </row>
    <row r="204" ht="18" customHeight="1">
      <c r="A204" s="37">
        <v>182</v>
      </c>
      <c r="B204" s="38">
        <v>42614</v>
      </c>
      <c r="C204" t="s" s="39">
        <v>899</v>
      </c>
      <c r="D204" t="s" s="39">
        <v>9</v>
      </c>
      <c r="E204" s="40">
        <v>91701</v>
      </c>
      <c r="F204" s="44">
        <f>E204*0.19</f>
        <v>17423.19</v>
      </c>
      <c r="G204" s="45">
        <f>E204+F204</f>
        <v>109124.19</v>
      </c>
      <c r="H204" s="17">
        <f>IF(I204=TRUE(),E204,0)</f>
        <v>91701</v>
      </c>
      <c r="I204" t="b" s="18">
        <v>1</v>
      </c>
    </row>
    <row r="205" ht="18" customHeight="1">
      <c r="A205" s="37">
        <v>183</v>
      </c>
      <c r="B205" s="38">
        <v>42614</v>
      </c>
      <c r="C205" t="s" s="39">
        <v>822</v>
      </c>
      <c r="D205" t="s" s="39">
        <v>913</v>
      </c>
      <c r="E205" s="40">
        <v>152212</v>
      </c>
      <c r="F205" s="44">
        <f>E205*0.19</f>
        <v>28920.28</v>
      </c>
      <c r="G205" s="45">
        <f>E205+F205</f>
        <v>181132.28</v>
      </c>
      <c r="H205" s="17">
        <f>IF(I205=TRUE(),E205,0)</f>
        <v>152212</v>
      </c>
      <c r="I205" t="b" s="18">
        <v>1</v>
      </c>
    </row>
    <row r="206" ht="18" customHeight="1">
      <c r="A206" s="37">
        <v>184</v>
      </c>
      <c r="B206" s="38">
        <v>42614</v>
      </c>
      <c r="C206" t="s" s="39">
        <v>778</v>
      </c>
      <c r="D206" t="s" s="39">
        <v>914</v>
      </c>
      <c r="E206" s="40">
        <v>145364</v>
      </c>
      <c r="F206" s="44">
        <f>E206*0.19</f>
        <v>27619.16</v>
      </c>
      <c r="G206" s="45">
        <f>E206+F206</f>
        <v>172983.16</v>
      </c>
      <c r="H206" s="17">
        <f>IF(I206=TRUE(),E206,0)</f>
        <v>145364</v>
      </c>
      <c r="I206" t="b" s="18">
        <v>1</v>
      </c>
    </row>
    <row r="207" ht="18" customHeight="1">
      <c r="A207" s="37">
        <v>185</v>
      </c>
      <c r="B207" s="38">
        <v>42614</v>
      </c>
      <c r="C207" t="s" s="39">
        <v>915</v>
      </c>
      <c r="D207" t="s" s="39">
        <v>916</v>
      </c>
      <c r="E207" s="40">
        <v>270130</v>
      </c>
      <c r="F207" s="44">
        <f>E207*0.19</f>
        <v>51324.7</v>
      </c>
      <c r="G207" s="45">
        <f>E207+F207</f>
        <v>321454.7</v>
      </c>
      <c r="H207" s="17">
        <f>IF(I207=TRUE(),E207,0)</f>
        <v>270130</v>
      </c>
      <c r="I207" t="b" s="18">
        <v>1</v>
      </c>
    </row>
    <row r="208" ht="18" customHeight="1">
      <c r="A208" s="37">
        <v>186</v>
      </c>
      <c r="B208" s="38">
        <v>42614</v>
      </c>
      <c r="C208" t="s" s="39">
        <v>917</v>
      </c>
      <c r="D208" t="s" s="39">
        <v>918</v>
      </c>
      <c r="E208" s="40">
        <v>261800</v>
      </c>
      <c r="F208" s="44">
        <f>E208*0.19</f>
        <v>49742</v>
      </c>
      <c r="G208" s="45">
        <f>E208+F208</f>
        <v>311542</v>
      </c>
      <c r="H208" s="17">
        <f>IF(I208=TRUE(),E208,0)</f>
        <v>261800</v>
      </c>
      <c r="I208" t="b" s="18">
        <v>1</v>
      </c>
    </row>
    <row r="209" ht="18" customHeight="1">
      <c r="A209" s="37">
        <v>187</v>
      </c>
      <c r="B209" s="38">
        <v>42614</v>
      </c>
      <c r="C209" t="s" s="39">
        <v>778</v>
      </c>
      <c r="D209" t="s" s="39">
        <v>912</v>
      </c>
      <c r="E209" s="40">
        <v>217088</v>
      </c>
      <c r="F209" s="44">
        <f>E209*0.19</f>
        <v>41246.72</v>
      </c>
      <c r="G209" s="45">
        <f>E209+F209</f>
        <v>258334.72</v>
      </c>
      <c r="H209" s="17">
        <f>IF(I209=TRUE(),E209,0)</f>
        <v>217088</v>
      </c>
      <c r="I209" t="b" s="18">
        <v>1</v>
      </c>
    </row>
    <row r="210" ht="18" customHeight="1">
      <c r="A210" s="37">
        <v>188</v>
      </c>
      <c r="B210" s="38">
        <v>42614</v>
      </c>
      <c r="C210" t="s" s="39">
        <v>833</v>
      </c>
      <c r="D210" t="s" s="39">
        <v>919</v>
      </c>
      <c r="E210" s="40">
        <v>307916</v>
      </c>
      <c r="F210" s="44">
        <f>E210*0.19</f>
        <v>58504.04</v>
      </c>
      <c r="G210" s="45">
        <f>E210+F210</f>
        <v>366420.04</v>
      </c>
      <c r="H210" s="17">
        <f>IF(I210=TRUE(),E210,0)</f>
        <v>307916</v>
      </c>
      <c r="I210" t="b" s="18">
        <v>1</v>
      </c>
    </row>
    <row r="211" ht="18" customHeight="1">
      <c r="A211" s="37">
        <v>189</v>
      </c>
      <c r="B211" s="38">
        <v>42614</v>
      </c>
      <c r="C211" t="s" s="39">
        <v>833</v>
      </c>
      <c r="D211" t="s" s="39">
        <v>920</v>
      </c>
      <c r="E211" s="40">
        <v>205276</v>
      </c>
      <c r="F211" s="44">
        <f>E211*0.19</f>
        <v>39002.44</v>
      </c>
      <c r="G211" s="45">
        <f>E211+F211</f>
        <v>244278.44</v>
      </c>
      <c r="H211" s="17">
        <f>IF(I211=TRUE(),E211,0)</f>
        <v>205276</v>
      </c>
      <c r="I211" t="b" s="18">
        <v>1</v>
      </c>
    </row>
    <row r="212" ht="18" customHeight="1">
      <c r="A212" s="37">
        <v>190</v>
      </c>
      <c r="B212" s="38">
        <v>42614</v>
      </c>
      <c r="C212" t="s" s="39">
        <v>921</v>
      </c>
      <c r="D212" t="s" s="39">
        <v>922</v>
      </c>
      <c r="E212" s="40">
        <v>59500</v>
      </c>
      <c r="F212" s="44">
        <f>E212*0.19</f>
        <v>11305</v>
      </c>
      <c r="G212" s="45">
        <f>E212+F212</f>
        <v>70805</v>
      </c>
      <c r="H212" s="17">
        <f>IF(I212=TRUE(),E212,0)</f>
        <v>0</v>
      </c>
      <c r="I212" t="b" s="18">
        <v>0</v>
      </c>
    </row>
    <row r="213" ht="18" customHeight="1">
      <c r="A213" s="37">
        <v>191</v>
      </c>
      <c r="B213" s="38">
        <v>42614</v>
      </c>
      <c r="C213" t="s" s="39">
        <v>909</v>
      </c>
      <c r="D213" t="s" s="39">
        <v>842</v>
      </c>
      <c r="E213" s="40">
        <v>718414</v>
      </c>
      <c r="F213" s="44">
        <f>E213*0.19</f>
        <v>136498.66</v>
      </c>
      <c r="G213" s="45">
        <f>E213+F213</f>
        <v>854912.66</v>
      </c>
      <c r="H213" s="17">
        <f>IF(I213=TRUE(),E213,0)</f>
        <v>718414</v>
      </c>
      <c r="I213" t="b" s="18">
        <v>1</v>
      </c>
    </row>
    <row r="214" ht="18" customHeight="1">
      <c r="A214" s="46">
        <v>192</v>
      </c>
      <c r="B214" s="47">
        <v>42637</v>
      </c>
      <c r="C214" t="s" s="48">
        <v>901</v>
      </c>
      <c r="D214" t="s" s="48">
        <v>923</v>
      </c>
      <c r="E214" s="49">
        <v>377498</v>
      </c>
      <c r="F214" s="44">
        <f>E214*0.19</f>
        <v>71724.62</v>
      </c>
      <c r="G214" s="45">
        <f>E214+F214</f>
        <v>449222.62</v>
      </c>
      <c r="H214" s="17">
        <f>IF(I214=TRUE(),E214,0)</f>
        <v>377498</v>
      </c>
      <c r="I214" t="b" s="18">
        <v>1</v>
      </c>
    </row>
    <row r="215" ht="18" customHeight="1">
      <c r="A215" s="18">
        <f>COUNT(A198:A214)</f>
        <v>17</v>
      </c>
      <c r="B215" t="s" s="50">
        <v>924</v>
      </c>
      <c r="C215" t="s" s="14">
        <v>7</v>
      </c>
      <c r="D215" s="14"/>
      <c r="E215" s="51">
        <f>SUM(E198:E214)</f>
        <v>4771417</v>
      </c>
      <c r="F215" s="51">
        <f>SUM(F198:F214)</f>
        <v>906569.23</v>
      </c>
      <c r="G215" s="45">
        <f>SUM(G198:G214)</f>
        <v>5677986.23</v>
      </c>
      <c r="H215" s="17">
        <f>SUM(H198:H214)</f>
        <v>4592917</v>
      </c>
      <c r="I215" s="18">
        <f>COUNTIF(I198:I214,TRUE())</f>
        <v>15</v>
      </c>
    </row>
    <row r="216" ht="18" customHeight="1">
      <c r="A216" s="52"/>
      <c r="B216" s="53"/>
      <c r="C216" s="52"/>
      <c r="D216" s="52"/>
      <c r="E216" s="54"/>
      <c r="F216" s="44"/>
      <c r="G216" s="45"/>
      <c r="H216" s="17"/>
      <c r="I216" s="19"/>
    </row>
    <row r="217" ht="18" customHeight="1">
      <c r="A217" s="37">
        <v>193</v>
      </c>
      <c r="B217" s="38">
        <v>42657</v>
      </c>
      <c r="C217" t="s" s="39">
        <v>901</v>
      </c>
      <c r="D217" t="s" s="39">
        <v>925</v>
      </c>
      <c r="E217" s="40">
        <v>275001</v>
      </c>
      <c r="F217" s="44">
        <f>E217*0.19</f>
        <v>52250.19</v>
      </c>
      <c r="G217" s="45">
        <f>E217+F217</f>
        <v>327251.19</v>
      </c>
      <c r="H217" s="17">
        <f>IF(I217=TRUE(),E217,0)</f>
        <v>0</v>
      </c>
      <c r="I217" t="b" s="18">
        <v>0</v>
      </c>
    </row>
    <row r="218" ht="18" customHeight="1">
      <c r="A218" s="37">
        <v>194</v>
      </c>
      <c r="B218" s="38"/>
      <c r="C218" s="42"/>
      <c r="D218" s="42"/>
      <c r="E218" s="40"/>
      <c r="F218" s="44">
        <f>E218*0.19</f>
        <v>0</v>
      </c>
      <c r="G218" s="45">
        <f>E218+F218</f>
        <v>0</v>
      </c>
      <c r="H218" s="17">
        <f>IF(I218=TRUE(),E218,0)</f>
        <v>0</v>
      </c>
      <c r="I218" t="b" s="18">
        <v>0</v>
      </c>
    </row>
    <row r="219" ht="18" customHeight="1">
      <c r="A219" s="37">
        <v>195</v>
      </c>
      <c r="B219" s="38">
        <v>42614</v>
      </c>
      <c r="C219" t="s" s="39">
        <v>778</v>
      </c>
      <c r="D219" t="s" s="39">
        <v>926</v>
      </c>
      <c r="E219" s="40">
        <v>217200</v>
      </c>
      <c r="F219" s="44">
        <f>E219*0.19</f>
        <v>41268</v>
      </c>
      <c r="G219" s="45">
        <f>E219+F219</f>
        <v>258468</v>
      </c>
      <c r="H219" s="17">
        <f>IF(I219=TRUE(),E219,0)</f>
        <v>217200</v>
      </c>
      <c r="I219" t="b" s="18">
        <v>1</v>
      </c>
    </row>
    <row r="220" ht="18" customHeight="1">
      <c r="A220" s="37">
        <v>196</v>
      </c>
      <c r="B220" s="38">
        <v>42647</v>
      </c>
      <c r="C220" t="s" s="39">
        <v>927</v>
      </c>
      <c r="D220" t="s" s="39">
        <v>776</v>
      </c>
      <c r="E220" s="40">
        <v>178500</v>
      </c>
      <c r="F220" s="44">
        <f>E220*0.19</f>
        <v>33915</v>
      </c>
      <c r="G220" s="45">
        <f>E220+F220</f>
        <v>212415</v>
      </c>
      <c r="H220" s="17">
        <f>IF(I220=TRUE(),E220,0)</f>
        <v>178500</v>
      </c>
      <c r="I220" t="b" s="18">
        <v>1</v>
      </c>
    </row>
    <row r="221" ht="18" customHeight="1">
      <c r="A221" s="37">
        <v>197</v>
      </c>
      <c r="B221" s="38">
        <v>42644</v>
      </c>
      <c r="C221" t="s" s="39">
        <v>928</v>
      </c>
      <c r="D221" t="s" s="39">
        <v>929</v>
      </c>
      <c r="E221" s="40">
        <v>569415</v>
      </c>
      <c r="F221" s="44">
        <f>E221*0.19</f>
        <v>108188.85</v>
      </c>
      <c r="G221" s="45">
        <f>E221+F221</f>
        <v>677603.85</v>
      </c>
      <c r="H221" s="17">
        <f>IF(I221=TRUE(),E221,0)</f>
        <v>0</v>
      </c>
      <c r="I221" t="b" s="18">
        <v>0</v>
      </c>
    </row>
    <row r="222" ht="18" customHeight="1">
      <c r="A222" s="37">
        <v>198</v>
      </c>
      <c r="B222" s="38">
        <v>42644</v>
      </c>
      <c r="C222" t="s" s="39">
        <v>930</v>
      </c>
      <c r="D222" t="s" s="39">
        <v>931</v>
      </c>
      <c r="E222" s="40">
        <v>93621</v>
      </c>
      <c r="F222" s="44">
        <f>E222*0.19</f>
        <v>17787.99</v>
      </c>
      <c r="G222" s="45">
        <f>E222+F222</f>
        <v>111408.99</v>
      </c>
      <c r="H222" s="17">
        <f>IF(I222=TRUE(),E222,0)</f>
        <v>93621</v>
      </c>
      <c r="I222" t="b" s="18">
        <v>1</v>
      </c>
    </row>
    <row r="223" ht="18" customHeight="1">
      <c r="A223" s="37">
        <v>199</v>
      </c>
      <c r="B223" s="38">
        <v>42649</v>
      </c>
      <c r="C223" t="s" s="39">
        <v>932</v>
      </c>
      <c r="D223" t="s" s="39">
        <v>776</v>
      </c>
      <c r="E223" s="40">
        <v>971040</v>
      </c>
      <c r="F223" s="44">
        <f>E223*0.19</f>
        <v>184497.6</v>
      </c>
      <c r="G223" s="45">
        <f>E223+F223</f>
        <v>1155537.6</v>
      </c>
      <c r="H223" s="17">
        <f>IF(I223=TRUE(),E223,0)</f>
        <v>971040</v>
      </c>
      <c r="I223" t="b" s="18">
        <v>1</v>
      </c>
    </row>
    <row r="224" ht="18" customHeight="1">
      <c r="A224" s="37">
        <v>200</v>
      </c>
      <c r="B224" s="38"/>
      <c r="C224" s="42"/>
      <c r="D224" s="42"/>
      <c r="E224" s="40"/>
      <c r="F224" s="44">
        <f>E224*0.19</f>
        <v>0</v>
      </c>
      <c r="G224" s="45">
        <f>E224+F224</f>
        <v>0</v>
      </c>
      <c r="H224" s="17">
        <f>IF(I224=TRUE(),E224,0)</f>
        <v>0</v>
      </c>
      <c r="I224" t="b" s="18">
        <v>0</v>
      </c>
    </row>
    <row r="225" ht="18" customHeight="1">
      <c r="A225" s="37">
        <v>201</v>
      </c>
      <c r="B225" s="38"/>
      <c r="C225" s="42"/>
      <c r="D225" s="42"/>
      <c r="E225" s="40"/>
      <c r="F225" s="44">
        <f>E225*0.19</f>
        <v>0</v>
      </c>
      <c r="G225" s="45">
        <f>E225+F225</f>
        <v>0</v>
      </c>
      <c r="H225" s="17">
        <f>IF(I225=TRUE(),E225,0)</f>
        <v>0</v>
      </c>
      <c r="I225" t="b" s="18">
        <v>0</v>
      </c>
    </row>
    <row r="226" ht="18" customHeight="1">
      <c r="A226" s="37">
        <v>202</v>
      </c>
      <c r="B226" s="38">
        <v>42671</v>
      </c>
      <c r="C226" t="s" s="39">
        <v>933</v>
      </c>
      <c r="D226" s="42"/>
      <c r="E226" s="40">
        <v>190400</v>
      </c>
      <c r="F226" s="44">
        <f>E226*0.19</f>
        <v>36176</v>
      </c>
      <c r="G226" s="45">
        <f>E226+F226</f>
        <v>226576</v>
      </c>
      <c r="H226" s="17">
        <f>IF(I226=TRUE(),E226,0)</f>
        <v>0</v>
      </c>
      <c r="I226" t="b" s="18">
        <v>0</v>
      </c>
    </row>
    <row r="227" ht="18" customHeight="1">
      <c r="A227" s="37">
        <v>203</v>
      </c>
      <c r="B227" s="38">
        <v>42644</v>
      </c>
      <c r="C227" t="s" s="39">
        <v>886</v>
      </c>
      <c r="D227" t="s" s="39">
        <v>912</v>
      </c>
      <c r="E227" s="40">
        <v>234052</v>
      </c>
      <c r="F227" s="44">
        <f>E227*0.19</f>
        <v>44469.88</v>
      </c>
      <c r="G227" s="45">
        <f>E227+F227</f>
        <v>278521.88</v>
      </c>
      <c r="H227" s="17">
        <f>IF(I227=TRUE(),E227,0)</f>
        <v>234052</v>
      </c>
      <c r="I227" t="b" s="18">
        <v>1</v>
      </c>
    </row>
    <row r="228" ht="19" customHeight="1">
      <c r="A228" s="56">
        <v>204</v>
      </c>
      <c r="B228" s="38">
        <v>42644</v>
      </c>
      <c r="C228" t="s" s="57">
        <v>775</v>
      </c>
      <c r="D228" t="s" s="57">
        <v>934</v>
      </c>
      <c r="E228" s="58">
        <v>408810</v>
      </c>
      <c r="F228" s="44">
        <f>E228*0.19</f>
        <v>77673.899999999994</v>
      </c>
      <c r="G228" s="45">
        <f>E228+F228</f>
        <v>486483.9</v>
      </c>
      <c r="H228" s="17">
        <f>IF(I228=TRUE(),E228,0)</f>
        <v>408810</v>
      </c>
      <c r="I228" t="b" s="18">
        <v>1</v>
      </c>
    </row>
    <row r="229" ht="18" customHeight="1">
      <c r="A229" s="37">
        <v>205</v>
      </c>
      <c r="B229" s="38">
        <v>42644</v>
      </c>
      <c r="C229" t="s" s="39">
        <v>899</v>
      </c>
      <c r="D229" t="s" s="39">
        <v>935</v>
      </c>
      <c r="E229" s="40">
        <v>91748</v>
      </c>
      <c r="F229" s="44">
        <f>E229*0.19</f>
        <v>17432.12</v>
      </c>
      <c r="G229" s="45">
        <f>E229+F229</f>
        <v>109180.12</v>
      </c>
      <c r="H229" s="17">
        <f>IF(I229=TRUE(),E229,0)</f>
        <v>91748</v>
      </c>
      <c r="I229" t="b" s="18">
        <v>1</v>
      </c>
    </row>
    <row r="230" ht="18" customHeight="1">
      <c r="A230" s="37">
        <v>206</v>
      </c>
      <c r="B230" s="38">
        <v>42644</v>
      </c>
      <c r="C230" t="s" s="39">
        <v>822</v>
      </c>
      <c r="D230" t="s" s="39">
        <v>935</v>
      </c>
      <c r="E230" s="40">
        <v>152290</v>
      </c>
      <c r="F230" s="44">
        <f>E230*0.19</f>
        <v>28935.1</v>
      </c>
      <c r="G230" s="45">
        <f>E230+F230</f>
        <v>181225.1</v>
      </c>
      <c r="H230" s="17">
        <f>IF(I230=TRUE(),E230,0)</f>
        <v>152290</v>
      </c>
      <c r="I230" t="b" s="18">
        <v>1</v>
      </c>
    </row>
    <row r="231" ht="18" customHeight="1">
      <c r="A231" s="37">
        <v>207</v>
      </c>
      <c r="B231" t="s" s="39">
        <v>936</v>
      </c>
      <c r="C231" t="s" s="39">
        <v>937</v>
      </c>
      <c r="D231" s="42"/>
      <c r="E231" s="40"/>
      <c r="F231" s="44">
        <f>E231*0.19</f>
        <v>0</v>
      </c>
      <c r="G231" s="45">
        <f>E231+F231</f>
        <v>0</v>
      </c>
      <c r="H231" s="17">
        <f>IF(I231=TRUE(),E231,0)</f>
        <v>0</v>
      </c>
      <c r="I231" t="b" s="18">
        <v>0</v>
      </c>
    </row>
    <row r="232" ht="18" customHeight="1">
      <c r="A232" s="37">
        <v>208</v>
      </c>
      <c r="B232" s="38"/>
      <c r="C232" t="s" s="39">
        <v>778</v>
      </c>
      <c r="D232" t="s" s="39">
        <v>926</v>
      </c>
      <c r="E232" s="40">
        <v>217200</v>
      </c>
      <c r="F232" s="44">
        <f>E232*0.19</f>
        <v>41268</v>
      </c>
      <c r="G232" s="45">
        <f>E232+F232</f>
        <v>258468</v>
      </c>
      <c r="H232" s="17">
        <f>IF(I232=TRUE(),E232,0)</f>
        <v>217200</v>
      </c>
      <c r="I232" t="b" s="18">
        <v>1</v>
      </c>
    </row>
    <row r="233" ht="18" customHeight="1">
      <c r="A233" s="37">
        <v>209</v>
      </c>
      <c r="B233" s="38">
        <v>42644</v>
      </c>
      <c r="C233" t="s" s="39">
        <v>833</v>
      </c>
      <c r="D233" t="s" s="39">
        <v>938</v>
      </c>
      <c r="E233" s="40">
        <v>102983</v>
      </c>
      <c r="F233" s="44">
        <f>E233*0.19</f>
        <v>19566.77</v>
      </c>
      <c r="G233" s="45">
        <f>E233+F233</f>
        <v>122549.77</v>
      </c>
      <c r="H233" s="17">
        <f>IF(I233=TRUE(),E233,0)</f>
        <v>102983</v>
      </c>
      <c r="I233" t="b" s="18">
        <v>1</v>
      </c>
    </row>
    <row r="234" ht="18" customHeight="1">
      <c r="A234" s="37">
        <v>210</v>
      </c>
      <c r="B234" s="38">
        <v>42644</v>
      </c>
      <c r="C234" t="s" s="39">
        <v>833</v>
      </c>
      <c r="D234" t="s" s="39">
        <v>939</v>
      </c>
      <c r="E234" s="40">
        <v>68655</v>
      </c>
      <c r="F234" s="44">
        <f>E234*0.19</f>
        <v>13044.45</v>
      </c>
      <c r="G234" s="45">
        <f>E234+F234</f>
        <v>81699.45</v>
      </c>
      <c r="H234" s="17">
        <f>IF(I234=TRUE(),E234,0)</f>
        <v>68655</v>
      </c>
      <c r="I234" t="b" s="18">
        <v>1</v>
      </c>
    </row>
    <row r="235" ht="18" customHeight="1">
      <c r="A235" s="46">
        <v>211</v>
      </c>
      <c r="B235" s="47"/>
      <c r="C235" t="s" s="48">
        <v>778</v>
      </c>
      <c r="D235" t="s" s="48">
        <v>940</v>
      </c>
      <c r="E235" s="49">
        <v>36512</v>
      </c>
      <c r="F235" s="44">
        <f>E235*0.19</f>
        <v>6937.28</v>
      </c>
      <c r="G235" s="45">
        <f>E235+F235</f>
        <v>43449.28</v>
      </c>
      <c r="H235" s="17">
        <f>IF(I235=TRUE(),E235,0)</f>
        <v>36512</v>
      </c>
      <c r="I235" t="b" s="18">
        <v>1</v>
      </c>
    </row>
    <row r="236" ht="18" customHeight="1">
      <c r="A236" s="18">
        <f>COUNT(A217:A235)</f>
        <v>19</v>
      </c>
      <c r="B236" t="s" s="50">
        <v>941</v>
      </c>
      <c r="C236" t="s" s="14">
        <v>7</v>
      </c>
      <c r="D236" s="14"/>
      <c r="E236" s="51">
        <f>SUM(E217:E235)</f>
        <v>3807427</v>
      </c>
      <c r="F236" s="51">
        <f>SUM(F217:F235)</f>
        <v>723411.13</v>
      </c>
      <c r="G236" s="45">
        <f>SUM(G217:G235)</f>
        <v>4530838.13</v>
      </c>
      <c r="H236" s="17">
        <f>SUM(H217:H235)</f>
        <v>2772611</v>
      </c>
      <c r="I236" s="18">
        <f>COUNTIF(I217:I235,TRUE())</f>
        <v>12</v>
      </c>
    </row>
    <row r="237" ht="18" customHeight="1">
      <c r="A237" s="52"/>
      <c r="B237" s="53"/>
      <c r="C237" s="52"/>
      <c r="D237" s="52"/>
      <c r="E237" s="54"/>
      <c r="F237" s="44"/>
      <c r="G237" s="45"/>
      <c r="H237" s="17"/>
      <c r="I237" s="19"/>
    </row>
    <row r="238" ht="18" customHeight="1">
      <c r="A238" s="37">
        <v>212</v>
      </c>
      <c r="B238" s="38">
        <v>42675</v>
      </c>
      <c r="C238" t="s" s="39">
        <v>848</v>
      </c>
      <c r="D238" t="s" s="39">
        <v>926</v>
      </c>
      <c r="E238" s="59">
        <v>399840</v>
      </c>
      <c r="F238" s="44">
        <f>E238*0.19</f>
        <v>75969.600000000006</v>
      </c>
      <c r="G238" s="45">
        <f>E238+F238</f>
        <v>475809.6</v>
      </c>
      <c r="H238" s="17">
        <f>IF(I238=TRUE(),E238,0)</f>
        <v>399840</v>
      </c>
      <c r="I238" t="b" s="18">
        <v>1</v>
      </c>
    </row>
    <row r="239" ht="18" customHeight="1">
      <c r="A239" s="37">
        <v>213</v>
      </c>
      <c r="B239" s="38">
        <v>42698</v>
      </c>
      <c r="C239" t="s" s="39">
        <v>921</v>
      </c>
      <c r="D239" t="s" s="39">
        <v>926</v>
      </c>
      <c r="E239" s="59">
        <v>285600</v>
      </c>
      <c r="F239" s="44">
        <f>E239*0.19</f>
        <v>54264</v>
      </c>
      <c r="G239" s="45">
        <f>E239+F239</f>
        <v>339864</v>
      </c>
      <c r="H239" s="17">
        <f>IF(I239=TRUE(),E239,0)</f>
        <v>285600</v>
      </c>
      <c r="I239" t="b" s="18">
        <v>1</v>
      </c>
    </row>
    <row r="240" ht="18" customHeight="1">
      <c r="A240" s="37">
        <v>214</v>
      </c>
      <c r="B240" s="38">
        <v>42675</v>
      </c>
      <c r="C240" t="s" s="39">
        <v>932</v>
      </c>
      <c r="D240" t="s" s="39">
        <v>776</v>
      </c>
      <c r="E240" s="59">
        <v>742560</v>
      </c>
      <c r="F240" s="44">
        <f>E240*0.19</f>
        <v>141086.4</v>
      </c>
      <c r="G240" s="45">
        <f>E240+F240</f>
        <v>883646.4</v>
      </c>
      <c r="H240" s="17">
        <f>IF(I240=TRUE(),E240,0)</f>
        <v>742560</v>
      </c>
      <c r="I240" t="b" s="18">
        <v>1</v>
      </c>
    </row>
    <row r="241" ht="18" customHeight="1">
      <c r="A241" s="37">
        <v>215</v>
      </c>
      <c r="B241" s="38"/>
      <c r="C241" s="42"/>
      <c r="D241" s="42"/>
      <c r="E241" s="59"/>
      <c r="F241" s="44">
        <f>E241*0.19</f>
        <v>0</v>
      </c>
      <c r="G241" s="45">
        <f>E241+F241</f>
        <v>0</v>
      </c>
      <c r="H241" s="17">
        <f>IF(I241=TRUE(),E241,0)</f>
        <v>0</v>
      </c>
      <c r="I241" t="b" s="18">
        <v>0</v>
      </c>
    </row>
    <row r="242" ht="18" customHeight="1">
      <c r="A242" s="37">
        <v>216</v>
      </c>
      <c r="B242" s="38">
        <v>42693</v>
      </c>
      <c r="C242" t="s" s="39">
        <v>921</v>
      </c>
      <c r="D242" t="s" s="39">
        <v>942</v>
      </c>
      <c r="E242" s="59">
        <v>83300</v>
      </c>
      <c r="F242" s="44">
        <f>E242*0.19</f>
        <v>15827</v>
      </c>
      <c r="G242" s="45">
        <f>E242+F242</f>
        <v>99127</v>
      </c>
      <c r="H242" s="17">
        <f>IF(I242=TRUE(),E242,0)</f>
        <v>0</v>
      </c>
      <c r="I242" t="b" s="18">
        <v>0</v>
      </c>
    </row>
    <row r="243" ht="18" customHeight="1">
      <c r="A243" s="37">
        <v>217</v>
      </c>
      <c r="B243" s="38">
        <v>42703</v>
      </c>
      <c r="C243" t="s" s="39">
        <v>909</v>
      </c>
      <c r="D243" t="s" s="39">
        <v>448</v>
      </c>
      <c r="E243" s="59">
        <v>89250</v>
      </c>
      <c r="F243" s="44">
        <f>E243*0.19</f>
        <v>16957.5</v>
      </c>
      <c r="G243" s="45">
        <f>E243+F243</f>
        <v>106207.5</v>
      </c>
      <c r="H243" s="17">
        <f>IF(I243=TRUE(),E243,0)</f>
        <v>0</v>
      </c>
      <c r="I243" t="b" s="18">
        <v>0</v>
      </c>
    </row>
    <row r="244" ht="18" customHeight="1">
      <c r="A244" s="60">
        <v>218</v>
      </c>
      <c r="B244" s="38">
        <v>42704</v>
      </c>
      <c r="C244" t="s" s="39">
        <v>901</v>
      </c>
      <c r="D244" t="s" s="39">
        <v>943</v>
      </c>
      <c r="E244" s="59">
        <v>1134304</v>
      </c>
      <c r="F244" s="44">
        <f>E244*0.19</f>
        <v>215517.76</v>
      </c>
      <c r="G244" s="45">
        <f>E244+F244</f>
        <v>1349821.76</v>
      </c>
      <c r="H244" s="17">
        <f>IF(I244=TRUE(),E244,0)</f>
        <v>1134304</v>
      </c>
      <c r="I244" t="b" s="18">
        <v>1</v>
      </c>
    </row>
    <row r="245" ht="18" customHeight="1">
      <c r="A245" s="60">
        <v>219</v>
      </c>
      <c r="B245" s="38">
        <v>42704</v>
      </c>
      <c r="C245" t="s" s="39">
        <v>901</v>
      </c>
      <c r="D245" t="s" s="39">
        <v>944</v>
      </c>
      <c r="E245" s="59">
        <v>330225</v>
      </c>
      <c r="F245" s="44">
        <f>E245*0.19</f>
        <v>62742.75</v>
      </c>
      <c r="G245" s="45">
        <f>E245+F245</f>
        <v>392967.75</v>
      </c>
      <c r="H245" s="17">
        <f>IF(I245=TRUE(),E245,0)</f>
        <v>0</v>
      </c>
      <c r="I245" t="b" s="18">
        <v>0</v>
      </c>
    </row>
    <row r="246" ht="18" customHeight="1">
      <c r="A246" s="37">
        <v>220</v>
      </c>
      <c r="B246" s="38"/>
      <c r="C246" s="42"/>
      <c r="D246" s="42"/>
      <c r="E246" s="40"/>
      <c r="F246" s="44">
        <f>E246*0.19</f>
        <v>0</v>
      </c>
      <c r="G246" s="45">
        <f>E246+F246</f>
        <v>0</v>
      </c>
      <c r="H246" s="17">
        <f>IF(I246=TRUE(),E246,0)</f>
        <v>0</v>
      </c>
      <c r="I246" t="b" s="18">
        <v>0</v>
      </c>
    </row>
    <row r="247" ht="18" customHeight="1">
      <c r="A247" s="37">
        <v>221</v>
      </c>
      <c r="B247" s="38">
        <v>42704</v>
      </c>
      <c r="C247" t="s" s="39">
        <v>909</v>
      </c>
      <c r="D247" t="s" s="39">
        <v>945</v>
      </c>
      <c r="E247" s="59">
        <v>763813</v>
      </c>
      <c r="F247" s="44">
        <f>E247*0.19</f>
        <v>145124.47</v>
      </c>
      <c r="G247" s="45">
        <f>E247+F247</f>
        <v>908937.47</v>
      </c>
      <c r="H247" s="17">
        <f>IF(I247=TRUE(),E247,0)</f>
        <v>763813</v>
      </c>
      <c r="I247" t="b" s="18">
        <v>1</v>
      </c>
    </row>
    <row r="248" ht="18" customHeight="1">
      <c r="A248" s="37">
        <v>222</v>
      </c>
      <c r="B248" s="38">
        <v>42704</v>
      </c>
      <c r="C248" t="s" s="39">
        <v>909</v>
      </c>
      <c r="D248" t="s" s="39">
        <v>946</v>
      </c>
      <c r="E248" s="59">
        <v>564781</v>
      </c>
      <c r="F248" s="44">
        <f>E248*0.19</f>
        <v>107308.39</v>
      </c>
      <c r="G248" s="45">
        <f>E248+F248</f>
        <v>672089.39</v>
      </c>
      <c r="H248" s="17">
        <f>IF(I248=TRUE(),E248,0)</f>
        <v>564781</v>
      </c>
      <c r="I248" t="b" s="18">
        <v>1</v>
      </c>
    </row>
    <row r="249" ht="19" customHeight="1">
      <c r="A249" t="s" s="61">
        <v>947</v>
      </c>
      <c r="B249" s="38">
        <v>42704</v>
      </c>
      <c r="C249" t="s" s="39">
        <v>909</v>
      </c>
      <c r="D249" t="s" s="39">
        <v>946</v>
      </c>
      <c r="E249" s="59">
        <v>10938</v>
      </c>
      <c r="F249" s="44">
        <f>E249*0.19</f>
        <v>2078.22</v>
      </c>
      <c r="G249" s="45">
        <f>E249+F249</f>
        <v>13016.22</v>
      </c>
      <c r="H249" s="17">
        <f>IF(I249=TRUE(),E249,0)</f>
        <v>10938</v>
      </c>
      <c r="I249" t="b" s="18">
        <v>1</v>
      </c>
    </row>
    <row r="250" ht="18" customHeight="1">
      <c r="A250" s="37">
        <v>223</v>
      </c>
      <c r="B250" s="38">
        <v>42704</v>
      </c>
      <c r="C250" t="s" s="39">
        <v>769</v>
      </c>
      <c r="D250" t="s" s="39">
        <v>948</v>
      </c>
      <c r="E250" s="40">
        <v>641879</v>
      </c>
      <c r="F250" s="44">
        <f>E250*0.19</f>
        <v>121957.01</v>
      </c>
      <c r="G250" s="45">
        <f>E250+F250</f>
        <v>763836.01</v>
      </c>
      <c r="H250" s="17">
        <f>IF(I250=TRUE(),E250,0)</f>
        <v>641879</v>
      </c>
      <c r="I250" t="b" s="18">
        <v>1</v>
      </c>
    </row>
    <row r="251" ht="18" customHeight="1">
      <c r="A251" s="37">
        <v>224</v>
      </c>
      <c r="B251" s="38">
        <v>42704</v>
      </c>
      <c r="C251" t="s" s="39">
        <v>778</v>
      </c>
      <c r="D251" t="s" s="39">
        <v>949</v>
      </c>
      <c r="E251" s="59">
        <v>217522</v>
      </c>
      <c r="F251" s="44">
        <f>E251*0.19</f>
        <v>41329.18</v>
      </c>
      <c r="G251" s="45">
        <f>E251+F251</f>
        <v>258851.18</v>
      </c>
      <c r="H251" s="17">
        <f>IF(I251=TRUE(),E251,0)</f>
        <v>217522</v>
      </c>
      <c r="I251" t="b" s="18">
        <v>1</v>
      </c>
    </row>
    <row r="252" ht="18" customHeight="1">
      <c r="A252" s="37">
        <v>225</v>
      </c>
      <c r="B252" s="38">
        <v>42704</v>
      </c>
      <c r="C252" t="s" s="39">
        <v>778</v>
      </c>
      <c r="D252" t="s" s="39">
        <v>940</v>
      </c>
      <c r="E252" s="59">
        <v>36566</v>
      </c>
      <c r="F252" s="44">
        <f>E252*0.19</f>
        <v>6947.54</v>
      </c>
      <c r="G252" s="45">
        <f>E252+F252</f>
        <v>43513.54</v>
      </c>
      <c r="H252" s="17">
        <f>IF(I252=TRUE(),E252,0)</f>
        <v>36566</v>
      </c>
      <c r="I252" t="b" s="18">
        <v>1</v>
      </c>
    </row>
    <row r="253" ht="18" customHeight="1">
      <c r="A253" s="60">
        <v>226</v>
      </c>
      <c r="B253" s="38">
        <v>42704</v>
      </c>
      <c r="C253" t="s" s="39">
        <v>899</v>
      </c>
      <c r="D253" t="s" s="39">
        <v>9</v>
      </c>
      <c r="E253" s="59">
        <v>91885</v>
      </c>
      <c r="F253" s="44">
        <f>E253*0.19</f>
        <v>17458.15</v>
      </c>
      <c r="G253" s="45">
        <f>E253+F253</f>
        <v>109343.15</v>
      </c>
      <c r="H253" s="17">
        <f>IF(I253=TRUE(),E253,0)</f>
        <v>91885</v>
      </c>
      <c r="I253" t="b" s="18">
        <v>1</v>
      </c>
    </row>
    <row r="254" ht="18" customHeight="1">
      <c r="A254" t="s" s="62">
        <v>950</v>
      </c>
      <c r="B254" s="38">
        <v>42704</v>
      </c>
      <c r="C254" t="s" s="39">
        <v>822</v>
      </c>
      <c r="D254" t="s" s="39">
        <v>951</v>
      </c>
      <c r="E254" s="59">
        <v>152515</v>
      </c>
      <c r="F254" s="44">
        <f>E254*0.19</f>
        <v>28977.85</v>
      </c>
      <c r="G254" s="45">
        <f>E254+F254</f>
        <v>181492.85</v>
      </c>
      <c r="H254" s="17">
        <f>IF(I254=TRUE(),E254,0)</f>
        <v>152515</v>
      </c>
      <c r="I254" t="b" s="18">
        <v>1</v>
      </c>
    </row>
    <row r="255" ht="18" customHeight="1">
      <c r="A255" s="60">
        <v>228</v>
      </c>
      <c r="B255" s="38">
        <v>42704</v>
      </c>
      <c r="C255" t="s" s="39">
        <v>833</v>
      </c>
      <c r="D255" t="s" s="39">
        <v>952</v>
      </c>
      <c r="E255" s="59">
        <v>103136</v>
      </c>
      <c r="F255" s="44">
        <f>E255*0.19</f>
        <v>19595.84</v>
      </c>
      <c r="G255" s="45">
        <f>E255+F255</f>
        <v>122731.84</v>
      </c>
      <c r="H255" s="17">
        <f>IF(I255=TRUE(),E255,0)</f>
        <v>103136</v>
      </c>
      <c r="I255" t="b" s="18">
        <v>1</v>
      </c>
    </row>
    <row r="256" ht="18" customHeight="1">
      <c r="A256" t="s" s="62">
        <v>953</v>
      </c>
      <c r="B256" s="38"/>
      <c r="C256" s="42"/>
      <c r="D256" s="42"/>
      <c r="E256" s="59"/>
      <c r="F256" s="44">
        <f>E256*0.19</f>
        <v>0</v>
      </c>
      <c r="G256" s="45">
        <f>E256+F256</f>
        <v>0</v>
      </c>
      <c r="H256" s="17">
        <f>IF(I256=TRUE(),E256,0)</f>
        <v>0</v>
      </c>
      <c r="I256" t="b" s="18">
        <v>0</v>
      </c>
    </row>
    <row r="257" ht="18" customHeight="1">
      <c r="A257" s="60">
        <v>233</v>
      </c>
      <c r="B257" s="38">
        <v>42704</v>
      </c>
      <c r="C257" t="s" s="39">
        <v>833</v>
      </c>
      <c r="D257" t="s" s="39">
        <v>954</v>
      </c>
      <c r="E257" s="59">
        <v>68757</v>
      </c>
      <c r="F257" s="44">
        <f>E257*0.19</f>
        <v>13063.83</v>
      </c>
      <c r="G257" s="45">
        <f>E257+F257</f>
        <v>81820.83</v>
      </c>
      <c r="H257" s="17">
        <f>IF(I257=TRUE(),E257,0)</f>
        <v>68757</v>
      </c>
      <c r="I257" t="b" s="18">
        <v>1</v>
      </c>
    </row>
    <row r="258" ht="18" customHeight="1">
      <c r="A258" s="60">
        <v>234</v>
      </c>
      <c r="B258" s="38"/>
      <c r="C258" s="42"/>
      <c r="D258" s="42"/>
      <c r="E258" s="40"/>
      <c r="F258" s="44">
        <f>E258*0.19</f>
        <v>0</v>
      </c>
      <c r="G258" s="45">
        <f>E258+F258</f>
        <v>0</v>
      </c>
      <c r="H258" s="17">
        <f>IF(I258=TRUE(),E258,0)</f>
        <v>0</v>
      </c>
      <c r="I258" t="b" s="18">
        <v>0</v>
      </c>
    </row>
    <row r="259" ht="18" customHeight="1">
      <c r="A259" s="60">
        <v>235</v>
      </c>
      <c r="B259" s="38"/>
      <c r="C259" s="42"/>
      <c r="D259" s="42"/>
      <c r="E259" s="40"/>
      <c r="F259" s="44">
        <f>E259*0.19</f>
        <v>0</v>
      </c>
      <c r="G259" s="45">
        <f>E259+F259</f>
        <v>0</v>
      </c>
      <c r="H259" s="17">
        <f>IF(I259=TRUE(),E259,0)</f>
        <v>0</v>
      </c>
      <c r="I259" t="b" s="18">
        <v>0</v>
      </c>
    </row>
    <row r="260" ht="18" customHeight="1">
      <c r="A260" s="37">
        <v>236</v>
      </c>
      <c r="B260" s="38">
        <v>42704</v>
      </c>
      <c r="C260" t="s" s="39">
        <v>775</v>
      </c>
      <c r="D260" t="s" s="39">
        <v>934</v>
      </c>
      <c r="E260" s="40">
        <v>409417</v>
      </c>
      <c r="F260" s="44">
        <f>E260*0.19</f>
        <v>77789.23</v>
      </c>
      <c r="G260" s="45">
        <f>E260+F260</f>
        <v>487206.23</v>
      </c>
      <c r="H260" s="17">
        <f>IF(I260=TRUE(),E260,0)</f>
        <v>409417</v>
      </c>
      <c r="I260" t="b" s="18">
        <v>1</v>
      </c>
    </row>
    <row r="261" ht="18" customHeight="1">
      <c r="A261" s="60">
        <v>237</v>
      </c>
      <c r="B261" s="38">
        <v>42704</v>
      </c>
      <c r="C261" t="s" s="39">
        <v>886</v>
      </c>
      <c r="D261" t="s" s="39">
        <v>949</v>
      </c>
      <c r="E261" s="59">
        <v>234399</v>
      </c>
      <c r="F261" s="44">
        <f>E261*0.19</f>
        <v>44535.81</v>
      </c>
      <c r="G261" s="45">
        <f>E261+F261</f>
        <v>278934.81</v>
      </c>
      <c r="H261" s="17">
        <f>IF(I261=TRUE(),E261,0)</f>
        <v>234399</v>
      </c>
      <c r="I261" t="b" s="18">
        <v>1</v>
      </c>
    </row>
    <row r="262" ht="18" customHeight="1">
      <c r="A262" s="37">
        <v>238</v>
      </c>
      <c r="B262" s="38">
        <v>42704</v>
      </c>
      <c r="C262" t="s" s="39">
        <v>777</v>
      </c>
      <c r="D262" t="s" s="39">
        <v>955</v>
      </c>
      <c r="E262" s="59">
        <v>914033</v>
      </c>
      <c r="F262" s="44">
        <f>E262*0.19</f>
        <v>173666.27</v>
      </c>
      <c r="G262" s="45">
        <f>E262+F262</f>
        <v>1087699.27</v>
      </c>
      <c r="H262" s="17">
        <f>IF(I262=TRUE(),E262,0)</f>
        <v>914033</v>
      </c>
      <c r="I262" t="b" s="18">
        <v>1</v>
      </c>
    </row>
    <row r="263" ht="18" customHeight="1">
      <c r="A263" s="37">
        <v>239</v>
      </c>
      <c r="B263" s="38">
        <v>42704</v>
      </c>
      <c r="C263" t="s" s="39">
        <v>777</v>
      </c>
      <c r="D263" t="s" s="39">
        <v>956</v>
      </c>
      <c r="E263" s="59">
        <v>309049</v>
      </c>
      <c r="F263" s="44">
        <f>E263*0.19</f>
        <v>58719.31</v>
      </c>
      <c r="G263" s="45">
        <f>E263+F263</f>
        <v>367768.31</v>
      </c>
      <c r="H263" s="17">
        <f>IF(I263=TRUE(),E263,0)</f>
        <v>309049</v>
      </c>
      <c r="I263" t="b" s="18">
        <v>1</v>
      </c>
    </row>
    <row r="264" ht="18" customHeight="1">
      <c r="A264" s="46">
        <v>240</v>
      </c>
      <c r="B264" s="47">
        <v>42704</v>
      </c>
      <c r="C264" t="s" s="48">
        <v>777</v>
      </c>
      <c r="D264" t="s" s="48">
        <v>957</v>
      </c>
      <c r="E264" s="63">
        <v>74921</v>
      </c>
      <c r="F264" s="44">
        <f>E264*0.19</f>
        <v>14234.99</v>
      </c>
      <c r="G264" s="45">
        <f>E264+F264</f>
        <v>89155.990000000005</v>
      </c>
      <c r="H264" s="17">
        <f>IF(I264=TRUE(),E264,0)</f>
        <v>74921</v>
      </c>
      <c r="I264" t="b" s="18">
        <v>1</v>
      </c>
    </row>
    <row r="265" ht="18" customHeight="1">
      <c r="A265" s="18">
        <v>26</v>
      </c>
      <c r="B265" t="s" s="50">
        <v>958</v>
      </c>
      <c r="C265" t="s" s="14">
        <v>7</v>
      </c>
      <c r="D265" s="14"/>
      <c r="E265" s="51">
        <f>SUM(E238:E264)</f>
        <v>7658690</v>
      </c>
      <c r="F265" s="51">
        <f>SUM(F238:F264)</f>
        <v>1455151.1</v>
      </c>
      <c r="G265" s="45">
        <f>SUM(G238:G264)</f>
        <v>9113841.1</v>
      </c>
      <c r="H265" s="17">
        <f>SUM(H238:H264)</f>
        <v>7155915</v>
      </c>
      <c r="I265" s="18">
        <f>COUNTIF(I238:I264,TRUE())</f>
        <v>19</v>
      </c>
    </row>
    <row r="266" ht="18" customHeight="1">
      <c r="A266" s="52"/>
      <c r="B266" s="53"/>
      <c r="C266" s="52"/>
      <c r="D266" s="64"/>
      <c r="E266" s="65"/>
      <c r="F266" s="44"/>
      <c r="G266" s="45"/>
      <c r="H266" s="17"/>
      <c r="I266" s="19"/>
    </row>
    <row r="267" ht="18" customHeight="1">
      <c r="A267" s="37">
        <v>241</v>
      </c>
      <c r="B267" s="38">
        <v>42705</v>
      </c>
      <c r="C267" t="s" s="39">
        <v>959</v>
      </c>
      <c r="D267" s="66">
        <v>42704</v>
      </c>
      <c r="E267" s="59">
        <v>631890</v>
      </c>
      <c r="F267" s="44">
        <f>E267*0.19</f>
        <v>120059.1</v>
      </c>
      <c r="G267" s="45">
        <f>E267+F267</f>
        <v>751949.1</v>
      </c>
      <c r="H267" s="17">
        <f>IF(I267=TRUE(),E267,0)</f>
        <v>631890</v>
      </c>
      <c r="I267" t="b" s="18">
        <v>1</v>
      </c>
    </row>
    <row r="268" ht="18" customHeight="1">
      <c r="A268" s="37">
        <v>242</v>
      </c>
      <c r="B268" s="38">
        <v>42710</v>
      </c>
      <c r="C268" t="s" s="39">
        <v>886</v>
      </c>
      <c r="D268" t="s" s="39">
        <v>960</v>
      </c>
      <c r="E268" s="59">
        <v>234052</v>
      </c>
      <c r="F268" s="44">
        <f>E268*0.19</f>
        <v>44469.88</v>
      </c>
      <c r="G268" s="45">
        <f>E268+F268</f>
        <v>278521.88</v>
      </c>
      <c r="H268" s="17">
        <f>IF(I268=TRUE(),E268,0)</f>
        <v>234052</v>
      </c>
      <c r="I268" t="b" s="18">
        <v>1</v>
      </c>
    </row>
    <row r="269" ht="18" customHeight="1">
      <c r="A269" s="37">
        <v>243</v>
      </c>
      <c r="B269" s="38"/>
      <c r="C269" s="42"/>
      <c r="D269" s="42"/>
      <c r="E269" s="40"/>
      <c r="F269" s="44">
        <f>E269*0.19</f>
        <v>0</v>
      </c>
      <c r="G269" s="45">
        <f>E269+F269</f>
        <v>0</v>
      </c>
      <c r="H269" s="17">
        <f>IF(I269=TRUE(),E269,0)</f>
        <v>0</v>
      </c>
      <c r="I269" t="b" s="18">
        <v>0</v>
      </c>
    </row>
    <row r="270" ht="18" customHeight="1">
      <c r="A270" s="37">
        <v>244</v>
      </c>
      <c r="B270" s="38"/>
      <c r="C270" s="42"/>
      <c r="D270" s="42"/>
      <c r="E270" s="40"/>
      <c r="F270" s="44">
        <f>E270*0.19</f>
        <v>0</v>
      </c>
      <c r="G270" s="45">
        <f>E270+F270</f>
        <v>0</v>
      </c>
      <c r="H270" s="17">
        <f>IF(I270=TRUE(),E270,0)</f>
        <v>0</v>
      </c>
      <c r="I270" t="b" s="18">
        <v>0</v>
      </c>
    </row>
    <row r="271" ht="18" customHeight="1">
      <c r="A271" s="37">
        <v>245</v>
      </c>
      <c r="B271" s="38"/>
      <c r="C271" s="42"/>
      <c r="D271" s="42"/>
      <c r="E271" s="40"/>
      <c r="F271" s="44">
        <f>E271*0.19</f>
        <v>0</v>
      </c>
      <c r="G271" s="45">
        <f>E271+F271</f>
        <v>0</v>
      </c>
      <c r="H271" s="17">
        <f>IF(I271=TRUE(),E271,0)</f>
        <v>0</v>
      </c>
      <c r="I271" t="b" s="18">
        <v>0</v>
      </c>
    </row>
    <row r="272" ht="18" customHeight="1">
      <c r="A272" s="37">
        <v>246</v>
      </c>
      <c r="B272" s="38"/>
      <c r="C272" s="42"/>
      <c r="D272" s="42"/>
      <c r="E272" s="40"/>
      <c r="F272" s="44">
        <f>E272*0.19</f>
        <v>0</v>
      </c>
      <c r="G272" s="45">
        <f>E272+F272</f>
        <v>0</v>
      </c>
      <c r="H272" s="17">
        <f>IF(I272=TRUE(),E272,0)</f>
        <v>0</v>
      </c>
      <c r="I272" t="b" s="18">
        <v>0</v>
      </c>
    </row>
    <row r="273" ht="18" customHeight="1">
      <c r="A273" s="37">
        <v>247</v>
      </c>
      <c r="B273" s="38"/>
      <c r="C273" s="42"/>
      <c r="D273" s="42"/>
      <c r="E273" s="40"/>
      <c r="F273" s="44">
        <f>E273*0.19</f>
        <v>0</v>
      </c>
      <c r="G273" s="45">
        <f>E273+F273</f>
        <v>0</v>
      </c>
      <c r="H273" s="17">
        <f>IF(I273=TRUE(),E273,0)</f>
        <v>0</v>
      </c>
      <c r="I273" t="b" s="18">
        <v>0</v>
      </c>
    </row>
    <row r="274" ht="18" customHeight="1">
      <c r="A274" s="37">
        <v>248</v>
      </c>
      <c r="B274" s="38"/>
      <c r="C274" s="42"/>
      <c r="D274" s="42"/>
      <c r="E274" s="40"/>
      <c r="F274" s="44">
        <f>E274*0.19</f>
        <v>0</v>
      </c>
      <c r="G274" s="45">
        <f>E274+F274</f>
        <v>0</v>
      </c>
      <c r="H274" s="17">
        <f>IF(I274=TRUE(),E274,0)</f>
        <v>0</v>
      </c>
      <c r="I274" t="b" s="18">
        <v>0</v>
      </c>
    </row>
    <row r="275" ht="18" customHeight="1">
      <c r="A275" s="37">
        <v>249</v>
      </c>
      <c r="B275" s="38"/>
      <c r="C275" t="s" s="39">
        <v>769</v>
      </c>
      <c r="D275" t="s" s="39">
        <v>961</v>
      </c>
      <c r="E275" s="40">
        <v>657739</v>
      </c>
      <c r="F275" s="44">
        <f>E275*0.19</f>
        <v>124970.41</v>
      </c>
      <c r="G275" s="45">
        <f>E275+F275</f>
        <v>782709.41</v>
      </c>
      <c r="H275" s="17">
        <f>IF(I275=TRUE(),E275,0)</f>
        <v>657739</v>
      </c>
      <c r="I275" t="b" s="18">
        <v>1</v>
      </c>
    </row>
    <row r="276" ht="18" customHeight="1">
      <c r="A276" s="37">
        <v>250</v>
      </c>
      <c r="B276" s="38"/>
      <c r="C276" s="42"/>
      <c r="D276" s="42"/>
      <c r="E276" s="40"/>
      <c r="F276" s="44">
        <f>E276*0.19</f>
        <v>0</v>
      </c>
      <c r="G276" s="45">
        <f>E276+F276</f>
        <v>0</v>
      </c>
      <c r="H276" s="17">
        <f>IF(I276=TRUE(),E276,0)</f>
        <v>0</v>
      </c>
      <c r="I276" t="b" s="18">
        <v>0</v>
      </c>
    </row>
    <row r="277" ht="18" customHeight="1">
      <c r="A277" s="37">
        <v>251</v>
      </c>
      <c r="B277" s="38"/>
      <c r="C277" s="42"/>
      <c r="D277" s="42"/>
      <c r="E277" s="40"/>
      <c r="F277" s="44">
        <f>E277*0.19</f>
        <v>0</v>
      </c>
      <c r="G277" s="45">
        <f>E277+F277</f>
        <v>0</v>
      </c>
      <c r="H277" s="17">
        <f>IF(I277=TRUE(),E277,0)</f>
        <v>0</v>
      </c>
      <c r="I277" t="b" s="18">
        <v>0</v>
      </c>
    </row>
    <row r="278" ht="18" customHeight="1">
      <c r="A278" s="37">
        <v>252</v>
      </c>
      <c r="B278" s="38"/>
      <c r="C278" s="42"/>
      <c r="D278" s="42"/>
      <c r="E278" s="40"/>
      <c r="F278" s="44">
        <f>E278*0.19</f>
        <v>0</v>
      </c>
      <c r="G278" s="45">
        <f>E278+F278</f>
        <v>0</v>
      </c>
      <c r="H278" s="17">
        <f>IF(I278=TRUE(),E278,0)</f>
        <v>0</v>
      </c>
      <c r="I278" t="b" s="18">
        <v>0</v>
      </c>
    </row>
    <row r="279" ht="18" customHeight="1">
      <c r="A279" s="37">
        <v>253</v>
      </c>
      <c r="B279" s="38"/>
      <c r="C279" s="42"/>
      <c r="D279" s="42"/>
      <c r="E279" s="40"/>
      <c r="F279" s="44">
        <f>E279*0.19</f>
        <v>0</v>
      </c>
      <c r="G279" s="45">
        <f>E279+F279</f>
        <v>0</v>
      </c>
      <c r="H279" s="17">
        <f>IF(I279=TRUE(),E279,0)</f>
        <v>0</v>
      </c>
      <c r="I279" t="b" s="18">
        <v>0</v>
      </c>
    </row>
    <row r="280" ht="18" customHeight="1">
      <c r="A280" s="37">
        <v>254</v>
      </c>
      <c r="B280" s="38"/>
      <c r="C280" s="42"/>
      <c r="D280" s="42"/>
      <c r="E280" s="40"/>
      <c r="F280" s="44">
        <f>E280*0.19</f>
        <v>0</v>
      </c>
      <c r="G280" s="45">
        <f>E280+F280</f>
        <v>0</v>
      </c>
      <c r="H280" s="17">
        <f>IF(I280=TRUE(),E280,0)</f>
        <v>0</v>
      </c>
      <c r="I280" t="b" s="18">
        <v>0</v>
      </c>
    </row>
    <row r="281" ht="18" customHeight="1">
      <c r="A281" s="37">
        <v>255</v>
      </c>
      <c r="B281" s="38"/>
      <c r="C281" s="42"/>
      <c r="D281" s="42"/>
      <c r="E281" s="40"/>
      <c r="F281" s="44">
        <f>E281*0.19</f>
        <v>0</v>
      </c>
      <c r="G281" s="45">
        <f>E281+F281</f>
        <v>0</v>
      </c>
      <c r="H281" s="17">
        <f>IF(I281=TRUE(),E281,0)</f>
        <v>0</v>
      </c>
      <c r="I281" t="b" s="18">
        <v>0</v>
      </c>
    </row>
    <row r="282" ht="18" customHeight="1">
      <c r="A282" s="37">
        <v>256</v>
      </c>
      <c r="B282" s="38"/>
      <c r="C282" s="42"/>
      <c r="D282" s="42"/>
      <c r="E282" s="40"/>
      <c r="F282" s="44">
        <f>E282*0.19</f>
        <v>0</v>
      </c>
      <c r="G282" s="45">
        <f>E282+F282</f>
        <v>0</v>
      </c>
      <c r="H282" s="17">
        <f>IF(I282=TRUE(),E282,0)</f>
        <v>0</v>
      </c>
      <c r="I282" t="b" s="18">
        <v>0</v>
      </c>
    </row>
    <row r="283" ht="18" customHeight="1">
      <c r="A283" s="37">
        <v>257</v>
      </c>
      <c r="B283" s="38">
        <v>42705</v>
      </c>
      <c r="C283" t="s" s="39">
        <v>742</v>
      </c>
      <c r="D283" t="s" s="39">
        <v>888</v>
      </c>
      <c r="E283" s="59">
        <v>522691</v>
      </c>
      <c r="F283" s="44">
        <f>E283*0.19</f>
        <v>99311.290000000008</v>
      </c>
      <c r="G283" s="45">
        <f>E283+F283</f>
        <v>622002.29</v>
      </c>
      <c r="H283" s="17">
        <f>IF(I283=TRUE(),E283,0)</f>
        <v>522691</v>
      </c>
      <c r="I283" t="b" s="18">
        <v>1</v>
      </c>
    </row>
    <row r="284" ht="18" customHeight="1">
      <c r="A284" s="37">
        <v>258</v>
      </c>
      <c r="B284" s="38"/>
      <c r="C284" s="42"/>
      <c r="D284" s="42"/>
      <c r="E284" s="40"/>
      <c r="F284" s="44">
        <f>E284*0.19</f>
        <v>0</v>
      </c>
      <c r="G284" s="45">
        <f>E284+F284</f>
        <v>0</v>
      </c>
      <c r="H284" s="17">
        <f>IF(I284=TRUE(),E284,0)</f>
        <v>0</v>
      </c>
      <c r="I284" t="b" s="18">
        <v>0</v>
      </c>
    </row>
    <row r="285" ht="18" customHeight="1">
      <c r="A285" s="37">
        <v>259</v>
      </c>
      <c r="B285" s="38">
        <v>42730</v>
      </c>
      <c r="C285" t="s" s="39">
        <v>769</v>
      </c>
      <c r="D285" t="s" s="39">
        <v>962</v>
      </c>
      <c r="E285" s="40">
        <v>130900</v>
      </c>
      <c r="F285" s="44">
        <f>E285*0.19</f>
        <v>24871</v>
      </c>
      <c r="G285" s="45">
        <f>E285+F285</f>
        <v>155771</v>
      </c>
      <c r="H285" s="17">
        <f>IF(I285=TRUE(),E285,0)</f>
        <v>0</v>
      </c>
      <c r="I285" t="b" s="18">
        <v>0</v>
      </c>
    </row>
    <row r="286" ht="19" customHeight="1">
      <c r="A286" s="37">
        <v>260</v>
      </c>
      <c r="B286" s="38">
        <v>42730</v>
      </c>
      <c r="C286" t="s" s="57">
        <v>901</v>
      </c>
      <c r="D286" t="s" s="57">
        <v>963</v>
      </c>
      <c r="E286" s="67">
        <v>516700</v>
      </c>
      <c r="F286" s="44">
        <f>E286*0.19</f>
        <v>98173</v>
      </c>
      <c r="G286" s="45">
        <f>E286+F286</f>
        <v>614873</v>
      </c>
      <c r="H286" s="17">
        <f>IF(I286=TRUE(),E286,0)</f>
        <v>516700</v>
      </c>
      <c r="I286" t="b" s="18">
        <v>1</v>
      </c>
    </row>
    <row r="287" ht="18" customHeight="1">
      <c r="A287" s="37">
        <v>261</v>
      </c>
      <c r="B287" s="38">
        <v>42730</v>
      </c>
      <c r="C287" t="s" s="39">
        <v>901</v>
      </c>
      <c r="D287" t="s" s="39">
        <v>964</v>
      </c>
      <c r="E287" s="59">
        <v>1080374</v>
      </c>
      <c r="F287" s="44">
        <f>E287*0.19</f>
        <v>205271.06</v>
      </c>
      <c r="G287" s="45">
        <f>E287+F287</f>
        <v>1285645.06</v>
      </c>
      <c r="H287" s="17">
        <f>IF(I287=TRUE(),E287,0)</f>
        <v>1080374</v>
      </c>
      <c r="I287" t="b" s="18">
        <v>1</v>
      </c>
    </row>
    <row r="288" ht="18" customHeight="1">
      <c r="A288" s="37">
        <v>262</v>
      </c>
      <c r="B288" s="38"/>
      <c r="C288" s="42"/>
      <c r="D288" s="42"/>
      <c r="E288" s="59"/>
      <c r="F288" s="44">
        <f>E288*0.19</f>
        <v>0</v>
      </c>
      <c r="G288" s="45">
        <f>E288+F288</f>
        <v>0</v>
      </c>
      <c r="H288" s="17">
        <f>IF(I288=TRUE(),E288,0)</f>
        <v>0</v>
      </c>
      <c r="I288" t="b" s="18">
        <v>0</v>
      </c>
    </row>
    <row r="289" ht="18" customHeight="1">
      <c r="A289" s="37">
        <v>263</v>
      </c>
      <c r="B289" s="38"/>
      <c r="C289" s="42"/>
      <c r="D289" s="42"/>
      <c r="E289" s="59"/>
      <c r="F289" s="44">
        <f>E289*0.19</f>
        <v>0</v>
      </c>
      <c r="G289" s="45">
        <f>E289+F289</f>
        <v>0</v>
      </c>
      <c r="H289" s="17">
        <f>IF(I289=TRUE(),E289,0)</f>
        <v>0</v>
      </c>
      <c r="I289" t="b" s="18">
        <v>0</v>
      </c>
    </row>
    <row r="290" ht="18" customHeight="1">
      <c r="A290" s="37">
        <v>264</v>
      </c>
      <c r="B290" s="38"/>
      <c r="C290" s="42"/>
      <c r="D290" s="42"/>
      <c r="E290" s="59"/>
      <c r="F290" s="44">
        <f>E290*0.19</f>
        <v>0</v>
      </c>
      <c r="G290" s="45">
        <f>E290+F290</f>
        <v>0</v>
      </c>
      <c r="H290" s="17">
        <f>IF(I290=TRUE(),E290,0)</f>
        <v>0</v>
      </c>
      <c r="I290" t="b" s="18">
        <v>0</v>
      </c>
    </row>
    <row r="291" ht="18" customHeight="1">
      <c r="A291" s="37">
        <v>265</v>
      </c>
      <c r="B291" s="38"/>
      <c r="C291" s="42"/>
      <c r="D291" s="42"/>
      <c r="E291" s="59"/>
      <c r="F291" s="44">
        <f>E291*0.19</f>
        <v>0</v>
      </c>
      <c r="G291" s="45">
        <f>E291+F291</f>
        <v>0</v>
      </c>
      <c r="H291" s="17">
        <f>IF(I291=TRUE(),E291,0)</f>
        <v>0</v>
      </c>
      <c r="I291" t="b" s="18">
        <v>0</v>
      </c>
    </row>
    <row r="292" ht="18" customHeight="1">
      <c r="A292" s="37">
        <v>266</v>
      </c>
      <c r="B292" s="38"/>
      <c r="C292" s="42"/>
      <c r="D292" s="42"/>
      <c r="E292" s="59"/>
      <c r="F292" s="44">
        <f>E292*0.19</f>
        <v>0</v>
      </c>
      <c r="G292" s="45">
        <f>E292+F292</f>
        <v>0</v>
      </c>
      <c r="H292" s="17">
        <f>IF(I292=TRUE(),E292,0)</f>
        <v>0</v>
      </c>
      <c r="I292" t="b" s="18">
        <v>0</v>
      </c>
    </row>
    <row r="293" ht="18" customHeight="1">
      <c r="A293" s="37">
        <v>267</v>
      </c>
      <c r="B293" s="38"/>
      <c r="C293" s="42"/>
      <c r="D293" s="42"/>
      <c r="E293" s="59"/>
      <c r="F293" s="44">
        <f>E293*0.19</f>
        <v>0</v>
      </c>
      <c r="G293" s="45">
        <f>E293+F293</f>
        <v>0</v>
      </c>
      <c r="H293" s="17">
        <f>IF(I293=TRUE(),E293,0)</f>
        <v>0</v>
      </c>
      <c r="I293" t="b" s="18">
        <v>0</v>
      </c>
    </row>
    <row r="294" ht="18" customHeight="1">
      <c r="A294" s="37">
        <v>268</v>
      </c>
      <c r="B294" s="38"/>
      <c r="C294" s="42"/>
      <c r="D294" s="42"/>
      <c r="E294" s="59"/>
      <c r="F294" s="44">
        <f>E294*0.19</f>
        <v>0</v>
      </c>
      <c r="G294" s="45">
        <f>E294+F294</f>
        <v>0</v>
      </c>
      <c r="H294" s="17">
        <f>IF(I294=TRUE(),E294,0)</f>
        <v>0</v>
      </c>
      <c r="I294" t="b" s="18">
        <v>0</v>
      </c>
    </row>
    <row r="295" ht="18" customHeight="1">
      <c r="A295" s="37">
        <v>269</v>
      </c>
      <c r="B295" s="38"/>
      <c r="C295" s="42"/>
      <c r="D295" s="42"/>
      <c r="E295" s="59"/>
      <c r="F295" s="44">
        <f>E295*0.19</f>
        <v>0</v>
      </c>
      <c r="G295" s="45">
        <f>E295+F295</f>
        <v>0</v>
      </c>
      <c r="H295" s="17">
        <f>IF(I295=TRUE(),E295,0)</f>
        <v>0</v>
      </c>
      <c r="I295" t="b" s="18">
        <v>0</v>
      </c>
    </row>
    <row r="296" ht="18" customHeight="1">
      <c r="A296" s="37">
        <v>270</v>
      </c>
      <c r="B296" s="38"/>
      <c r="C296" s="42"/>
      <c r="D296" s="42"/>
      <c r="E296" s="59"/>
      <c r="F296" s="44">
        <f>E296*0.19</f>
        <v>0</v>
      </c>
      <c r="G296" s="45">
        <f>E296+F296</f>
        <v>0</v>
      </c>
      <c r="H296" s="17">
        <f>IF(I296=TRUE(),E296,0)</f>
        <v>0</v>
      </c>
      <c r="I296" t="b" s="18">
        <v>0</v>
      </c>
    </row>
    <row r="297" ht="18" customHeight="1">
      <c r="A297" s="37">
        <v>271</v>
      </c>
      <c r="B297" s="38"/>
      <c r="C297" s="42"/>
      <c r="D297" s="42"/>
      <c r="E297" s="59"/>
      <c r="F297" s="44">
        <f>E297*0.19</f>
        <v>0</v>
      </c>
      <c r="G297" s="45">
        <f>E297+F297</f>
        <v>0</v>
      </c>
      <c r="H297" s="17">
        <f>IF(I297=TRUE(),E297,0)</f>
        <v>0</v>
      </c>
      <c r="I297" t="b" s="18">
        <v>0</v>
      </c>
    </row>
    <row r="298" ht="18" customHeight="1">
      <c r="A298" s="37">
        <v>272</v>
      </c>
      <c r="B298" s="38">
        <v>42731</v>
      </c>
      <c r="C298" t="s" s="39">
        <v>769</v>
      </c>
      <c r="D298" t="s" s="39">
        <v>965</v>
      </c>
      <c r="E298" s="40">
        <v>190162</v>
      </c>
      <c r="F298" s="44">
        <f>E298*0.19</f>
        <v>36130.78</v>
      </c>
      <c r="G298" s="45">
        <f>E298+F298</f>
        <v>226292.78</v>
      </c>
      <c r="H298" s="17">
        <f>IF(I298=TRUE(),E298,0)</f>
        <v>0</v>
      </c>
      <c r="I298" t="b" s="18">
        <v>0</v>
      </c>
    </row>
    <row r="299" ht="18" customHeight="1">
      <c r="A299" s="37">
        <v>373</v>
      </c>
      <c r="B299" s="38"/>
      <c r="C299" s="42"/>
      <c r="D299" s="42"/>
      <c r="E299" s="40"/>
      <c r="F299" s="44">
        <f>E299*0.19</f>
        <v>0</v>
      </c>
      <c r="G299" s="45">
        <f>E299+F299</f>
        <v>0</v>
      </c>
      <c r="H299" s="17">
        <f>IF(I299=TRUE(),E299,0)</f>
        <v>0</v>
      </c>
      <c r="I299" t="b" s="18">
        <v>0</v>
      </c>
    </row>
    <row r="300" ht="18" customHeight="1">
      <c r="A300" s="37">
        <v>274</v>
      </c>
      <c r="B300" s="38">
        <v>42732</v>
      </c>
      <c r="C300" t="s" s="39">
        <v>778</v>
      </c>
      <c r="D300" t="s" s="39">
        <v>966</v>
      </c>
      <c r="E300" s="59">
        <v>217953</v>
      </c>
      <c r="F300" s="44">
        <f>E300*0.19</f>
        <v>41411.07</v>
      </c>
      <c r="G300" s="45">
        <f>E300+F300</f>
        <v>259364.07</v>
      </c>
      <c r="H300" s="17">
        <f>IF(I300=TRUE(),E300,0)</f>
        <v>217953</v>
      </c>
      <c r="I300" t="b" s="18">
        <v>1</v>
      </c>
    </row>
    <row r="301" ht="18" customHeight="1">
      <c r="A301" s="37">
        <v>275</v>
      </c>
      <c r="B301" s="38">
        <v>42732</v>
      </c>
      <c r="C301" t="s" s="39">
        <v>778</v>
      </c>
      <c r="D301" t="s" s="39">
        <v>967</v>
      </c>
      <c r="E301" s="59">
        <v>36639</v>
      </c>
      <c r="F301" s="44">
        <f>E301*0.19</f>
        <v>6961.41</v>
      </c>
      <c r="G301" s="45">
        <f>E301+F301</f>
        <v>43600.41</v>
      </c>
      <c r="H301" s="17">
        <f>IF(I301=TRUE(),E301,0)</f>
        <v>36639</v>
      </c>
      <c r="I301" t="b" s="18">
        <v>1</v>
      </c>
    </row>
    <row r="302" ht="18" customHeight="1">
      <c r="A302" s="60">
        <v>276</v>
      </c>
      <c r="B302" s="38">
        <v>42732</v>
      </c>
      <c r="C302" t="s" s="39">
        <v>899</v>
      </c>
      <c r="D302" t="s" s="39">
        <v>968</v>
      </c>
      <c r="E302" s="59">
        <v>92067</v>
      </c>
      <c r="F302" s="44">
        <f>E302*0.19</f>
        <v>17492.73</v>
      </c>
      <c r="G302" s="45">
        <f>E302+F302</f>
        <v>109559.73</v>
      </c>
      <c r="H302" s="17">
        <f>IF(I302=TRUE(),E302,0)</f>
        <v>92067</v>
      </c>
      <c r="I302" t="b" s="18">
        <v>1</v>
      </c>
    </row>
    <row r="303" ht="18" customHeight="1">
      <c r="A303" t="s" s="62">
        <v>969</v>
      </c>
      <c r="B303" s="38">
        <v>42732</v>
      </c>
      <c r="C303" t="s" s="39">
        <v>822</v>
      </c>
      <c r="D303" t="s" s="39">
        <v>968</v>
      </c>
      <c r="E303" s="59">
        <v>152819</v>
      </c>
      <c r="F303" s="44">
        <f>E303*0.19</f>
        <v>29035.61</v>
      </c>
      <c r="G303" s="45">
        <f>E303+F303</f>
        <v>181854.61</v>
      </c>
      <c r="H303" s="17">
        <f>IF(I303=TRUE(),E303,0)</f>
        <v>152819</v>
      </c>
      <c r="I303" t="b" s="18">
        <v>1</v>
      </c>
    </row>
    <row r="304" ht="18" customHeight="1">
      <c r="A304" s="60">
        <v>278</v>
      </c>
      <c r="B304" s="38">
        <v>42732</v>
      </c>
      <c r="C304" t="s" s="39">
        <v>833</v>
      </c>
      <c r="D304" t="s" s="39">
        <v>970</v>
      </c>
      <c r="E304" s="59">
        <v>103340</v>
      </c>
      <c r="F304" s="44">
        <f>E304*0.19</f>
        <v>19634.6</v>
      </c>
      <c r="G304" s="45">
        <f>E304+F304</f>
        <v>122974.6</v>
      </c>
      <c r="H304" s="17">
        <f>IF(I304=TRUE(),E304,0)</f>
        <v>103340</v>
      </c>
      <c r="I304" t="b" s="18">
        <v>1</v>
      </c>
    </row>
    <row r="305" ht="18" customHeight="1">
      <c r="A305" s="60">
        <v>279</v>
      </c>
      <c r="B305" s="38">
        <v>42732</v>
      </c>
      <c r="C305" t="s" s="39">
        <v>833</v>
      </c>
      <c r="D305" t="s" s="39">
        <v>971</v>
      </c>
      <c r="E305" s="59">
        <v>68894</v>
      </c>
      <c r="F305" s="44">
        <f>E305*0.19</f>
        <v>13089.86</v>
      </c>
      <c r="G305" s="45">
        <f>E305+F305</f>
        <v>81983.86</v>
      </c>
      <c r="H305" s="17">
        <f>IF(I305=TRUE(),E305,0)</f>
        <v>68894</v>
      </c>
      <c r="I305" t="b" s="18">
        <v>1</v>
      </c>
    </row>
    <row r="306" ht="18" customHeight="1">
      <c r="A306" s="37">
        <v>280</v>
      </c>
      <c r="B306" s="38">
        <v>42733</v>
      </c>
      <c r="C306" t="s" s="39">
        <v>769</v>
      </c>
      <c r="D306" t="s" s="39">
        <v>962</v>
      </c>
      <c r="E306" s="40">
        <v>674730</v>
      </c>
      <c r="F306" s="44">
        <f>E306*0.19</f>
        <v>128198.7</v>
      </c>
      <c r="G306" s="45">
        <f>E306+F306</f>
        <v>802928.7</v>
      </c>
      <c r="H306" s="17">
        <f>IF(I306=TRUE(),E306,0)</f>
        <v>0</v>
      </c>
      <c r="I306" t="b" s="18">
        <v>0</v>
      </c>
    </row>
    <row r="307" ht="19" customHeight="1">
      <c r="A307" s="56">
        <v>281</v>
      </c>
      <c r="B307" s="38">
        <v>42733</v>
      </c>
      <c r="C307" t="s" s="57">
        <v>775</v>
      </c>
      <c r="D307" t="s" s="57">
        <v>934</v>
      </c>
      <c r="E307" s="58">
        <v>410229</v>
      </c>
      <c r="F307" s="44">
        <f>E307*0.19</f>
        <v>77943.509999999995</v>
      </c>
      <c r="G307" s="45">
        <f>E307+F307</f>
        <v>488172.51</v>
      </c>
      <c r="H307" s="17">
        <f>IF(I307=TRUE(),E307,0)</f>
        <v>410229</v>
      </c>
      <c r="I307" t="b" s="18">
        <v>1</v>
      </c>
    </row>
    <row r="308" ht="18" customHeight="1">
      <c r="A308" s="37">
        <v>282</v>
      </c>
      <c r="B308" s="38">
        <v>42733</v>
      </c>
      <c r="C308" t="s" s="39">
        <v>777</v>
      </c>
      <c r="D308" t="s" s="39">
        <v>972</v>
      </c>
      <c r="E308" s="59">
        <v>305636</v>
      </c>
      <c r="F308" s="44">
        <f>E308*0.19</f>
        <v>58070.84</v>
      </c>
      <c r="G308" s="45">
        <f>E308+F308</f>
        <v>363706.84</v>
      </c>
      <c r="H308" s="17">
        <f>IF(I308=TRUE(),E308,0)</f>
        <v>305636</v>
      </c>
      <c r="I308" t="b" s="18">
        <v>1</v>
      </c>
    </row>
    <row r="309" ht="18" customHeight="1">
      <c r="A309" s="37">
        <v>283</v>
      </c>
      <c r="B309" s="38">
        <v>42733</v>
      </c>
      <c r="C309" t="s" s="39">
        <v>777</v>
      </c>
      <c r="D309" t="s" s="39">
        <v>973</v>
      </c>
      <c r="E309" s="59">
        <v>103340</v>
      </c>
      <c r="F309" s="44">
        <f>E309*0.19</f>
        <v>19634.6</v>
      </c>
      <c r="G309" s="45">
        <f>E309+F309</f>
        <v>122974.6</v>
      </c>
      <c r="H309" s="17">
        <f>IF(I309=TRUE(),E309,0)</f>
        <v>103340</v>
      </c>
      <c r="I309" t="b" s="18">
        <v>1</v>
      </c>
    </row>
    <row r="310" ht="18" customHeight="1">
      <c r="A310" s="37">
        <v>284</v>
      </c>
      <c r="B310" s="38">
        <v>42733</v>
      </c>
      <c r="C310" t="s" s="39">
        <v>777</v>
      </c>
      <c r="D310" t="s" s="39">
        <v>974</v>
      </c>
      <c r="E310" s="59">
        <v>26618</v>
      </c>
      <c r="F310" s="44">
        <f>E310*0.19</f>
        <v>5057.42</v>
      </c>
      <c r="G310" s="45">
        <f>E310+F310</f>
        <v>31675.42</v>
      </c>
      <c r="H310" s="17">
        <f>IF(I310=TRUE(),E310,0)</f>
        <v>26618</v>
      </c>
      <c r="I310" t="b" s="18">
        <v>1</v>
      </c>
    </row>
    <row r="311" ht="18" customHeight="1">
      <c r="A311" s="37">
        <v>285</v>
      </c>
      <c r="B311" s="38">
        <v>42733</v>
      </c>
      <c r="C311" t="s" s="39">
        <v>777</v>
      </c>
      <c r="D311" t="s" s="39">
        <v>975</v>
      </c>
      <c r="E311" s="59">
        <v>85177</v>
      </c>
      <c r="F311" s="44">
        <f>E311*0.19</f>
        <v>16183.63</v>
      </c>
      <c r="G311" s="45">
        <f>E311+F311</f>
        <v>101360.63</v>
      </c>
      <c r="H311" s="17">
        <f>IF(I311=TRUE(),E311,0)</f>
        <v>0</v>
      </c>
      <c r="I311" t="b" s="18">
        <v>0</v>
      </c>
    </row>
    <row r="312" ht="19" customHeight="1">
      <c r="A312" t="s" s="61">
        <v>141</v>
      </c>
      <c r="B312" s="38">
        <v>42734</v>
      </c>
      <c r="C312" t="s" s="39">
        <v>777</v>
      </c>
      <c r="D312" t="s" s="39">
        <v>976</v>
      </c>
      <c r="E312" s="59">
        <v>35073</v>
      </c>
      <c r="F312" s="44">
        <f>E312*0.19</f>
        <v>6663.87</v>
      </c>
      <c r="G312" s="45">
        <f>E312+F312</f>
        <v>41736.87</v>
      </c>
      <c r="H312" s="17">
        <f>IF(I312=TRUE(),E312,0)</f>
        <v>0</v>
      </c>
      <c r="I312" t="b" s="18">
        <v>0</v>
      </c>
    </row>
    <row r="313" ht="18" customHeight="1">
      <c r="A313" s="68">
        <v>286</v>
      </c>
      <c r="B313" s="47">
        <v>42734</v>
      </c>
      <c r="C313" t="s" s="48">
        <v>886</v>
      </c>
      <c r="D313" t="s" s="48">
        <v>966</v>
      </c>
      <c r="E313" s="63">
        <v>234864</v>
      </c>
      <c r="F313" s="44">
        <f>E313*0.19</f>
        <v>44624.16</v>
      </c>
      <c r="G313" s="45">
        <f>E313+F313</f>
        <v>279488.16</v>
      </c>
      <c r="H313" s="17">
        <f>IF(I313=TRUE(),E313,0)</f>
        <v>234864</v>
      </c>
      <c r="I313" t="b" s="18">
        <v>1</v>
      </c>
    </row>
    <row r="314" ht="18" customHeight="1">
      <c r="A314" s="18">
        <f>COUNT(A267:A313)</f>
        <v>45</v>
      </c>
      <c r="B314" t="s" s="50">
        <v>977</v>
      </c>
      <c r="C314" t="s" s="14">
        <v>7</v>
      </c>
      <c r="D314" s="14"/>
      <c r="E314" s="51">
        <f>SUM(E267:E313)</f>
        <v>6511887</v>
      </c>
      <c r="F314" s="51">
        <f>SUM(F267:F313)</f>
        <v>1237258.53</v>
      </c>
      <c r="G314" s="45">
        <f>SUM(G267:G313)</f>
        <v>7749145.530000001</v>
      </c>
      <c r="H314" s="17">
        <f>SUM(H267:H313)</f>
        <v>5395845</v>
      </c>
      <c r="I314" s="18">
        <f>COUNTIF(I267:I313,TRUE())</f>
        <v>17</v>
      </c>
    </row>
    <row r="315" ht="18" customHeight="1">
      <c r="A315" s="52"/>
      <c r="B315" s="53"/>
      <c r="C315" s="52"/>
      <c r="D315" s="52"/>
      <c r="E315" s="54"/>
      <c r="F315" s="44"/>
      <c r="G315" s="45"/>
      <c r="H315" s="17"/>
      <c r="I315" s="19"/>
    </row>
    <row r="316" ht="18" customHeight="1">
      <c r="A316" t="s" s="39">
        <v>978</v>
      </c>
      <c r="B316" s="38"/>
      <c r="C316" s="42"/>
      <c r="D316" s="42"/>
      <c r="E316" s="40"/>
      <c r="F316" s="44"/>
      <c r="G316" s="45"/>
      <c r="H316" s="17"/>
      <c r="I316" s="19"/>
    </row>
    <row r="317" ht="18" customHeight="1">
      <c r="A317" s="37">
        <v>289</v>
      </c>
      <c r="B317" s="38">
        <v>42752</v>
      </c>
      <c r="C317" t="s" s="39">
        <v>909</v>
      </c>
      <c r="D317" t="s" s="39">
        <v>979</v>
      </c>
      <c r="E317" s="59">
        <v>525980</v>
      </c>
      <c r="F317" s="44">
        <f>E317*0.19</f>
        <v>99936.2</v>
      </c>
      <c r="G317" s="45">
        <f>E317+F317</f>
        <v>625916.2</v>
      </c>
      <c r="H317" s="17">
        <f>IF(I317=TRUE(),E317,0)</f>
        <v>0</v>
      </c>
      <c r="I317" t="b" s="18">
        <v>0</v>
      </c>
    </row>
    <row r="318" ht="18" customHeight="1">
      <c r="A318" s="37">
        <v>290</v>
      </c>
      <c r="B318" s="38">
        <v>42754</v>
      </c>
      <c r="C318" t="s" s="39">
        <v>769</v>
      </c>
      <c r="D318" t="s" s="39">
        <v>980</v>
      </c>
      <c r="E318" s="40">
        <v>333200</v>
      </c>
      <c r="F318" s="44">
        <f>E318*0.19</f>
        <v>63308</v>
      </c>
      <c r="G318" s="45">
        <f>E318+F318</f>
        <v>396508</v>
      </c>
      <c r="H318" s="17">
        <f>IF(I318=TRUE(),E318,0)</f>
        <v>0</v>
      </c>
      <c r="I318" t="b" s="18">
        <v>0</v>
      </c>
    </row>
    <row r="319" ht="18" customHeight="1">
      <c r="A319" s="37">
        <v>291</v>
      </c>
      <c r="B319" s="38">
        <v>42754</v>
      </c>
      <c r="C319" t="s" s="39">
        <v>769</v>
      </c>
      <c r="D319" t="s" s="39">
        <v>981</v>
      </c>
      <c r="E319" s="40">
        <v>113050</v>
      </c>
      <c r="F319" s="44">
        <f>E319*0.19</f>
        <v>21479.5</v>
      </c>
      <c r="G319" s="45">
        <f>E319+F319</f>
        <v>134529.5</v>
      </c>
      <c r="H319" s="17">
        <f>IF(I319=TRUE(),E319,0)</f>
        <v>0</v>
      </c>
      <c r="I319" t="b" s="18">
        <v>0</v>
      </c>
    </row>
    <row r="320" ht="18" customHeight="1">
      <c r="A320" s="37">
        <v>292</v>
      </c>
      <c r="B320" s="38">
        <v>42758</v>
      </c>
      <c r="C320" t="s" s="39">
        <v>982</v>
      </c>
      <c r="D320" t="s" s="39">
        <v>50</v>
      </c>
      <c r="E320" s="40">
        <v>406623</v>
      </c>
      <c r="F320" s="44">
        <f>E320*0.19</f>
        <v>77258.37</v>
      </c>
      <c r="G320" s="45">
        <f>E320+F320</f>
        <v>483881.37</v>
      </c>
      <c r="H320" s="17">
        <f>IF(I320=TRUE(),E320,0)</f>
        <v>0</v>
      </c>
      <c r="I320" t="b" s="18">
        <v>0</v>
      </c>
    </row>
    <row r="321" ht="18" customHeight="1">
      <c r="A321" s="37">
        <v>293</v>
      </c>
      <c r="B321" s="38">
        <v>42760</v>
      </c>
      <c r="C321" t="s" s="39">
        <v>775</v>
      </c>
      <c r="D321" t="s" s="39">
        <v>983</v>
      </c>
      <c r="E321" s="40">
        <v>410752</v>
      </c>
      <c r="F321" s="44">
        <f>E321*0.19</f>
        <v>78042.88</v>
      </c>
      <c r="G321" s="45">
        <f>E321+F321</f>
        <v>488794.88</v>
      </c>
      <c r="H321" s="17">
        <f>IF(I321=TRUE(),E321,0)</f>
        <v>410752</v>
      </c>
      <c r="I321" t="b" s="18">
        <v>1</v>
      </c>
    </row>
    <row r="322" ht="18" customHeight="1">
      <c r="A322" s="37">
        <v>294</v>
      </c>
      <c r="B322" s="38">
        <v>42760</v>
      </c>
      <c r="C322" t="s" s="39">
        <v>775</v>
      </c>
      <c r="D322" t="s" s="39">
        <v>934</v>
      </c>
      <c r="E322" s="40">
        <v>119000</v>
      </c>
      <c r="F322" s="44">
        <f>E322*0.19</f>
        <v>22610</v>
      </c>
      <c r="G322" s="45">
        <f>E322+F322</f>
        <v>141610</v>
      </c>
      <c r="H322" s="17">
        <f>IF(I322=TRUE(),E322,0)</f>
        <v>119000</v>
      </c>
      <c r="I322" t="b" s="18">
        <v>1</v>
      </c>
    </row>
    <row r="323" ht="18" customHeight="1">
      <c r="A323" s="37">
        <v>295</v>
      </c>
      <c r="B323" s="38">
        <v>42760</v>
      </c>
      <c r="C323" t="s" s="39">
        <v>778</v>
      </c>
      <c r="D323" t="s" s="39">
        <v>984</v>
      </c>
      <c r="E323" s="59">
        <v>218232</v>
      </c>
      <c r="F323" s="44">
        <f>E323*0.19</f>
        <v>41464.08</v>
      </c>
      <c r="G323" s="45">
        <f>E323+F323</f>
        <v>259696.08</v>
      </c>
      <c r="H323" s="17">
        <f>IF(I323=TRUE(),E323,0)</f>
        <v>218232</v>
      </c>
      <c r="I323" t="b" s="18">
        <v>1</v>
      </c>
    </row>
    <row r="324" ht="18" customHeight="1">
      <c r="A324" s="37">
        <v>296</v>
      </c>
      <c r="B324" s="38">
        <v>42760</v>
      </c>
      <c r="C324" t="s" s="39">
        <v>778</v>
      </c>
      <c r="D324" t="s" s="39">
        <v>985</v>
      </c>
      <c r="E324" s="59">
        <v>36685</v>
      </c>
      <c r="F324" s="44">
        <f>E324*0.19</f>
        <v>6970.15</v>
      </c>
      <c r="G324" s="45">
        <f>E324+F324</f>
        <v>43655.15</v>
      </c>
      <c r="H324" s="17">
        <f>IF(I324=TRUE(),E324,0)</f>
        <v>36685</v>
      </c>
      <c r="I324" t="b" s="18">
        <v>1</v>
      </c>
    </row>
    <row r="325" ht="18" customHeight="1">
      <c r="A325" t="s" s="62">
        <v>986</v>
      </c>
      <c r="B325" s="38">
        <v>42760</v>
      </c>
      <c r="C325" t="s" s="39">
        <v>822</v>
      </c>
      <c r="D325" t="s" s="39">
        <v>983</v>
      </c>
      <c r="E325" s="59">
        <v>153013</v>
      </c>
      <c r="F325" s="44">
        <f>E325*0.19</f>
        <v>29072.47</v>
      </c>
      <c r="G325" s="45">
        <f>E325+F325</f>
        <v>182085.47</v>
      </c>
      <c r="H325" s="17">
        <f>IF(I325=TRUE(),E325,0)</f>
        <v>153013</v>
      </c>
      <c r="I325" t="b" s="18">
        <v>1</v>
      </c>
    </row>
    <row r="326" ht="18" customHeight="1">
      <c r="A326" s="37">
        <v>298</v>
      </c>
      <c r="B326" s="38">
        <v>42762</v>
      </c>
      <c r="C326" t="s" s="39">
        <v>901</v>
      </c>
      <c r="D326" t="s" s="39">
        <v>987</v>
      </c>
      <c r="E326" s="59">
        <v>793285</v>
      </c>
      <c r="F326" s="44">
        <f>E326*0.19</f>
        <v>150724.15</v>
      </c>
      <c r="G326" s="45">
        <f>E326+F326</f>
        <v>944009.15</v>
      </c>
      <c r="H326" s="17">
        <f>IF(I326=TRUE(),E326,0)</f>
        <v>793285</v>
      </c>
      <c r="I326" t="b" s="18">
        <v>1</v>
      </c>
    </row>
    <row r="327" ht="18" customHeight="1">
      <c r="A327" s="37">
        <v>299</v>
      </c>
      <c r="B327" s="42"/>
      <c r="C327" t="s" s="39">
        <v>787</v>
      </c>
      <c r="D327" t="s" s="39">
        <v>983</v>
      </c>
      <c r="E327" s="40">
        <v>125395</v>
      </c>
      <c r="F327" s="44">
        <f>E327*0.19</f>
        <v>23825.05</v>
      </c>
      <c r="G327" s="45">
        <f>E327+F327</f>
        <v>149220.05</v>
      </c>
      <c r="H327" s="17">
        <f>IF(I327=TRUE(),E327,0)</f>
        <v>125395</v>
      </c>
      <c r="I327" t="b" s="18">
        <v>1</v>
      </c>
    </row>
    <row r="328" ht="18" customHeight="1">
      <c r="A328" s="37">
        <v>300</v>
      </c>
      <c r="B328" s="38">
        <v>42766</v>
      </c>
      <c r="C328" t="s" s="39">
        <v>777</v>
      </c>
      <c r="D328" t="s" s="39">
        <v>988</v>
      </c>
      <c r="E328" s="59">
        <v>305636</v>
      </c>
      <c r="F328" s="44">
        <f>E328*0.19</f>
        <v>58070.84</v>
      </c>
      <c r="G328" s="45">
        <f>E328+F328</f>
        <v>363706.84</v>
      </c>
      <c r="H328" s="17">
        <f>IF(I328=TRUE(),E328,0)</f>
        <v>305636</v>
      </c>
      <c r="I328" t="b" s="18">
        <v>1</v>
      </c>
    </row>
    <row r="329" ht="18" customHeight="1">
      <c r="A329" s="37">
        <v>301</v>
      </c>
      <c r="B329" s="38">
        <v>42766</v>
      </c>
      <c r="C329" t="s" s="39">
        <v>777</v>
      </c>
      <c r="D329" t="s" s="39">
        <v>989</v>
      </c>
      <c r="E329" s="59">
        <v>103472</v>
      </c>
      <c r="F329" s="44">
        <f>E329*0.19</f>
        <v>19659.68</v>
      </c>
      <c r="G329" s="45">
        <f>E329+F329</f>
        <v>123131.68</v>
      </c>
      <c r="H329" s="17">
        <f>IF(I329=TRUE(),E329,0)</f>
        <v>103472</v>
      </c>
      <c r="I329" t="b" s="18">
        <v>1</v>
      </c>
    </row>
    <row r="330" ht="18" customHeight="1">
      <c r="A330" s="37">
        <v>302</v>
      </c>
      <c r="B330" s="38">
        <v>42766</v>
      </c>
      <c r="C330" t="s" s="39">
        <v>777</v>
      </c>
      <c r="D330" t="s" s="39">
        <v>990</v>
      </c>
      <c r="E330" s="59">
        <v>31355</v>
      </c>
      <c r="F330" s="44">
        <f>E330*0.19</f>
        <v>5957.45</v>
      </c>
      <c r="G330" s="45">
        <f>E330+F330</f>
        <v>37312.45</v>
      </c>
      <c r="H330" s="17">
        <f>IF(I330=TRUE(),E330,0)</f>
        <v>31355</v>
      </c>
      <c r="I330" t="b" s="18">
        <v>1</v>
      </c>
    </row>
    <row r="331" ht="18" customHeight="1">
      <c r="A331" s="37">
        <v>303</v>
      </c>
      <c r="B331" s="38">
        <v>42766</v>
      </c>
      <c r="C331" t="s" s="39">
        <v>777</v>
      </c>
      <c r="D331" t="s" s="39">
        <v>991</v>
      </c>
      <c r="E331" s="59">
        <v>305636</v>
      </c>
      <c r="F331" s="44">
        <f>E331*0.19</f>
        <v>58070.84</v>
      </c>
      <c r="G331" s="45">
        <f>E331+F331</f>
        <v>363706.84</v>
      </c>
      <c r="H331" s="17">
        <f>IF(I331=TRUE(),E331,0)</f>
        <v>305636</v>
      </c>
      <c r="I331" t="b" s="18">
        <v>1</v>
      </c>
    </row>
    <row r="332" ht="18" customHeight="1">
      <c r="A332" s="60">
        <v>304</v>
      </c>
      <c r="B332" s="38">
        <v>42766</v>
      </c>
      <c r="C332" t="s" s="39">
        <v>833</v>
      </c>
      <c r="D332" t="s" s="39">
        <v>992</v>
      </c>
      <c r="E332" s="59">
        <v>103472</v>
      </c>
      <c r="F332" s="44">
        <f>E332*0.19</f>
        <v>19659.68</v>
      </c>
      <c r="G332" s="45">
        <f>E332+F332</f>
        <v>123131.68</v>
      </c>
      <c r="H332" s="17">
        <f>IF(I332=TRUE(),E332,0)</f>
        <v>103472</v>
      </c>
      <c r="I332" t="b" s="18">
        <v>1</v>
      </c>
    </row>
    <row r="333" ht="18" customHeight="1">
      <c r="A333" s="60">
        <v>305</v>
      </c>
      <c r="B333" s="38">
        <v>42766</v>
      </c>
      <c r="C333" t="s" s="39">
        <v>833</v>
      </c>
      <c r="D333" t="s" s="39">
        <v>993</v>
      </c>
      <c r="E333" s="59">
        <v>68981</v>
      </c>
      <c r="F333" s="44">
        <f>E333*0.19</f>
        <v>13106.39</v>
      </c>
      <c r="G333" s="45">
        <f>E333+F333</f>
        <v>82087.39</v>
      </c>
      <c r="H333" s="17">
        <f>IF(I333=TRUE(),E333,0)</f>
        <v>68981</v>
      </c>
      <c r="I333" t="b" s="18">
        <v>1</v>
      </c>
    </row>
    <row r="334" ht="18" customHeight="1">
      <c r="A334" s="60">
        <v>306</v>
      </c>
      <c r="B334" s="38">
        <v>42766</v>
      </c>
      <c r="C334" t="s" s="39">
        <v>899</v>
      </c>
      <c r="D334" t="s" s="39">
        <v>968</v>
      </c>
      <c r="E334" s="59">
        <v>92185</v>
      </c>
      <c r="F334" s="44">
        <f>E334*0.19</f>
        <v>17515.15</v>
      </c>
      <c r="G334" s="45">
        <f>E334+F334</f>
        <v>109700.15</v>
      </c>
      <c r="H334" s="17">
        <f>IF(I334=TRUE(),E334,0)</f>
        <v>92185</v>
      </c>
      <c r="I334" t="b" s="18">
        <v>1</v>
      </c>
    </row>
    <row r="335" ht="18" customHeight="1">
      <c r="A335" s="60">
        <v>307</v>
      </c>
      <c r="B335" s="38">
        <v>42766</v>
      </c>
      <c r="C335" t="s" s="39">
        <v>899</v>
      </c>
      <c r="D335" t="s" s="39">
        <v>880</v>
      </c>
      <c r="E335" s="59">
        <v>273700</v>
      </c>
      <c r="F335" s="44">
        <f>E335*0.19</f>
        <v>52003</v>
      </c>
      <c r="G335" s="45">
        <f>E335+F335</f>
        <v>325703</v>
      </c>
      <c r="H335" s="17">
        <f>IF(I335=TRUE(),E335,0)</f>
        <v>0</v>
      </c>
      <c r="I335" t="b" s="18">
        <v>0</v>
      </c>
    </row>
    <row r="336" ht="18" customHeight="1">
      <c r="A336" s="37">
        <v>308</v>
      </c>
      <c r="B336" s="38">
        <v>42766</v>
      </c>
      <c r="C336" t="s" s="39">
        <v>994</v>
      </c>
      <c r="D336" t="s" s="39">
        <v>995</v>
      </c>
      <c r="E336" s="40">
        <v>1279083</v>
      </c>
      <c r="F336" s="44">
        <f>E336*0.19</f>
        <v>243025.77</v>
      </c>
      <c r="G336" s="45">
        <f>E336+F336</f>
        <v>1522108.77</v>
      </c>
      <c r="H336" s="17">
        <f>IF(I336=TRUE(),E336,0)</f>
        <v>0</v>
      </c>
      <c r="I336" t="b" s="18">
        <v>0</v>
      </c>
    </row>
    <row r="337" ht="18" customHeight="1">
      <c r="A337" s="37">
        <v>309</v>
      </c>
      <c r="B337" s="38">
        <v>42767</v>
      </c>
      <c r="C337" t="s" s="39">
        <v>848</v>
      </c>
      <c r="D337" t="s" s="39">
        <v>926</v>
      </c>
      <c r="E337" s="59">
        <v>171360</v>
      </c>
      <c r="F337" s="44">
        <f>E337*0.19</f>
        <v>32558.4</v>
      </c>
      <c r="G337" s="45">
        <f>E337+F337</f>
        <v>203918.4</v>
      </c>
      <c r="H337" s="17">
        <f>IF(I337=TRUE(),E337,0)</f>
        <v>171360</v>
      </c>
      <c r="I337" t="b" s="18">
        <v>1</v>
      </c>
    </row>
    <row r="338" ht="18" customHeight="1">
      <c r="A338" s="37">
        <v>310</v>
      </c>
      <c r="B338" s="38">
        <v>42766</v>
      </c>
      <c r="C338" t="s" s="39">
        <v>921</v>
      </c>
      <c r="D338" t="s" s="39">
        <v>949</v>
      </c>
      <c r="E338" s="59">
        <v>571200</v>
      </c>
      <c r="F338" s="44">
        <f>E338*0.19</f>
        <v>108528</v>
      </c>
      <c r="G338" s="45">
        <f>E338+F338</f>
        <v>679728</v>
      </c>
      <c r="H338" s="17">
        <f>IF(I338=TRUE(),E338,0)</f>
        <v>571200</v>
      </c>
      <c r="I338" t="b" s="18">
        <v>1</v>
      </c>
    </row>
    <row r="339" ht="18" customHeight="1">
      <c r="A339" s="46">
        <v>311</v>
      </c>
      <c r="B339" s="47">
        <v>42766</v>
      </c>
      <c r="C339" t="s" s="48">
        <v>932</v>
      </c>
      <c r="D339" t="s" s="48">
        <v>949</v>
      </c>
      <c r="E339" s="63">
        <v>1085280</v>
      </c>
      <c r="F339" s="44">
        <f>E339*0.19</f>
        <v>206203.2</v>
      </c>
      <c r="G339" s="45">
        <f>E339+F339</f>
        <v>1291483.2</v>
      </c>
      <c r="H339" s="17">
        <f>IF(I339=TRUE(),E339,0)</f>
        <v>1085280</v>
      </c>
      <c r="I339" t="b" s="18">
        <v>1</v>
      </c>
    </row>
    <row r="340" ht="18" customHeight="1">
      <c r="A340" s="18">
        <f>COUNT(A317:A339)</f>
        <v>22</v>
      </c>
      <c r="B340" t="s" s="50">
        <v>996</v>
      </c>
      <c r="C340" t="s" s="14">
        <v>7</v>
      </c>
      <c r="D340" s="14"/>
      <c r="E340" s="51">
        <f>SUM(E317:E339)</f>
        <v>7626575</v>
      </c>
      <c r="F340" s="51">
        <f>SUM(F317:F339)</f>
        <v>1449049.25</v>
      </c>
      <c r="G340" s="45">
        <f>SUM(G317:G339)</f>
        <v>9075624.249999998</v>
      </c>
      <c r="H340" s="17">
        <f>SUM(H317:H339)</f>
        <v>4694939</v>
      </c>
      <c r="I340" s="18">
        <f>COUNTIF(I317:I339,TRUE())</f>
        <v>17</v>
      </c>
    </row>
    <row r="341" ht="18" customHeight="1">
      <c r="A341" s="52"/>
      <c r="B341" s="53"/>
      <c r="C341" s="52"/>
      <c r="D341" s="52"/>
      <c r="E341" s="65"/>
      <c r="F341" s="44"/>
      <c r="G341" s="45"/>
      <c r="H341" s="17"/>
      <c r="I341" s="19"/>
    </row>
    <row r="342" ht="18" customHeight="1">
      <c r="A342" s="37">
        <v>312</v>
      </c>
      <c r="B342" s="38">
        <v>42783</v>
      </c>
      <c r="C342" t="s" s="39">
        <v>901</v>
      </c>
      <c r="D342" t="s" s="39">
        <v>997</v>
      </c>
      <c r="E342" s="59">
        <v>964553</v>
      </c>
      <c r="F342" s="44">
        <f>E342*0.19</f>
        <v>183265.07</v>
      </c>
      <c r="G342" s="45">
        <f>E342+F342</f>
        <v>1147818.07</v>
      </c>
      <c r="H342" s="17">
        <f>IF(I342=TRUE(),E342,0)</f>
        <v>964553</v>
      </c>
      <c r="I342" t="b" s="18">
        <v>1</v>
      </c>
    </row>
    <row r="343" ht="18" customHeight="1">
      <c r="A343" s="37">
        <v>313</v>
      </c>
      <c r="B343" s="38">
        <v>42786</v>
      </c>
      <c r="C343" t="s" s="39">
        <v>778</v>
      </c>
      <c r="D343" t="s" s="39">
        <v>998</v>
      </c>
      <c r="E343" s="59">
        <v>217964</v>
      </c>
      <c r="F343" s="44">
        <f>E343*0.19</f>
        <v>41413.16</v>
      </c>
      <c r="G343" s="45">
        <f>E343+F343</f>
        <v>259377.16</v>
      </c>
      <c r="H343" s="17">
        <f>IF(I343=TRUE(),E343,0)</f>
        <v>217964</v>
      </c>
      <c r="I343" t="b" s="18">
        <v>1</v>
      </c>
    </row>
    <row r="344" ht="18" customHeight="1">
      <c r="A344" s="37">
        <v>314</v>
      </c>
      <c r="B344" s="38"/>
      <c r="C344" s="42"/>
      <c r="D344" s="42"/>
      <c r="E344" s="40"/>
      <c r="F344" s="44">
        <f>E344*0.19</f>
        <v>0</v>
      </c>
      <c r="G344" s="45">
        <f>E344+F344</f>
        <v>0</v>
      </c>
      <c r="H344" s="17">
        <f>IF(I344=TRUE(),E344,0)</f>
        <v>0</v>
      </c>
      <c r="I344" t="b" s="18">
        <v>0</v>
      </c>
    </row>
    <row r="345" ht="18" customHeight="1">
      <c r="A345" s="37">
        <v>315</v>
      </c>
      <c r="B345" s="38"/>
      <c r="C345" s="42"/>
      <c r="D345" s="42"/>
      <c r="E345" s="59"/>
      <c r="F345" s="44">
        <f>E345*0.19</f>
        <v>0</v>
      </c>
      <c r="G345" s="45">
        <f>E345+F345</f>
        <v>0</v>
      </c>
      <c r="H345" s="17">
        <f>IF(I345=TRUE(),E345,0)</f>
        <v>0</v>
      </c>
      <c r="I345" t="b" s="18">
        <v>0</v>
      </c>
    </row>
    <row r="346" ht="18" customHeight="1">
      <c r="A346" s="37">
        <v>316</v>
      </c>
      <c r="B346" s="38"/>
      <c r="C346" s="42"/>
      <c r="D346" s="42"/>
      <c r="E346" s="59"/>
      <c r="F346" s="44">
        <f>E346*0.19</f>
        <v>0</v>
      </c>
      <c r="G346" s="45">
        <f>E346+F346</f>
        <v>0</v>
      </c>
      <c r="H346" s="17">
        <f>IF(I346=TRUE(),E346,0)</f>
        <v>0</v>
      </c>
      <c r="I346" t="b" s="18">
        <v>0</v>
      </c>
    </row>
    <row r="347" ht="18" customHeight="1">
      <c r="A347" s="37">
        <v>317</v>
      </c>
      <c r="B347" s="38">
        <v>42786</v>
      </c>
      <c r="C347" t="s" s="39">
        <v>778</v>
      </c>
      <c r="D347" t="s" s="39">
        <v>998</v>
      </c>
      <c r="E347" s="59">
        <v>36640</v>
      </c>
      <c r="F347" s="44">
        <f>E347*0.19</f>
        <v>6961.6</v>
      </c>
      <c r="G347" s="45">
        <f>E347+F347</f>
        <v>43601.6</v>
      </c>
      <c r="H347" s="17">
        <f>IF(I347=TRUE(),E347,0)</f>
        <v>36640</v>
      </c>
      <c r="I347" t="b" s="18">
        <v>1</v>
      </c>
    </row>
    <row r="348" ht="18" customHeight="1">
      <c r="A348" s="60">
        <v>318</v>
      </c>
      <c r="B348" s="38">
        <v>42786</v>
      </c>
      <c r="C348" t="s" s="39">
        <v>899</v>
      </c>
      <c r="D348" t="s" s="39">
        <v>788</v>
      </c>
      <c r="E348" s="59">
        <v>92071</v>
      </c>
      <c r="F348" s="44">
        <f>E348*0.19</f>
        <v>17493.49</v>
      </c>
      <c r="G348" s="45">
        <f>E348+F348</f>
        <v>109564.49</v>
      </c>
      <c r="H348" s="17">
        <f>IF(I348=TRUE(),E348,0)</f>
        <v>92071</v>
      </c>
      <c r="I348" t="b" s="18">
        <v>1</v>
      </c>
    </row>
    <row r="349" ht="18" customHeight="1">
      <c r="A349" s="60">
        <v>319</v>
      </c>
      <c r="B349" s="38">
        <v>42786</v>
      </c>
      <c r="C349" t="s" s="39">
        <v>899</v>
      </c>
      <c r="D349" t="s" s="39">
        <v>999</v>
      </c>
      <c r="E349" s="59">
        <v>159911</v>
      </c>
      <c r="F349" s="44">
        <f>E349*0.19</f>
        <v>30383.09</v>
      </c>
      <c r="G349" s="45">
        <f>E349+F349</f>
        <v>190294.09</v>
      </c>
      <c r="H349" s="17">
        <f>IF(I349=TRUE(),E349,0)</f>
        <v>159911</v>
      </c>
      <c r="I349" t="b" s="18">
        <v>1</v>
      </c>
    </row>
    <row r="350" ht="18" customHeight="1">
      <c r="A350" t="s" s="62">
        <v>1000</v>
      </c>
      <c r="B350" s="38">
        <v>42786</v>
      </c>
      <c r="C350" t="s" s="39">
        <v>822</v>
      </c>
      <c r="D350" t="s" s="39">
        <v>788</v>
      </c>
      <c r="E350" s="59">
        <v>152826</v>
      </c>
      <c r="F350" s="44">
        <f>E350*0.19</f>
        <v>29036.94</v>
      </c>
      <c r="G350" s="45">
        <f>E350+F350</f>
        <v>181862.94</v>
      </c>
      <c r="H350" s="17">
        <f>IF(I350=TRUE(),E350,0)</f>
        <v>152826</v>
      </c>
      <c r="I350" t="b" s="18">
        <v>1</v>
      </c>
    </row>
    <row r="351" ht="18" customHeight="1">
      <c r="A351" s="46">
        <v>321</v>
      </c>
      <c r="B351" s="47">
        <v>42786</v>
      </c>
      <c r="C351" t="s" s="48">
        <v>775</v>
      </c>
      <c r="D351" t="s" s="48">
        <v>788</v>
      </c>
      <c r="E351" s="49">
        <v>410248</v>
      </c>
      <c r="F351" s="44">
        <f>E351*0.19</f>
        <v>77947.12</v>
      </c>
      <c r="G351" s="45">
        <f>E351+F351</f>
        <v>488195.12</v>
      </c>
      <c r="H351" s="17">
        <f>IF(I351=TRUE(),E351,0)</f>
        <v>410248</v>
      </c>
      <c r="I351" t="b" s="18">
        <v>1</v>
      </c>
    </row>
    <row r="352" ht="18" customHeight="1">
      <c r="A352" s="18">
        <f>COUNT(A342:A351)</f>
        <v>9</v>
      </c>
      <c r="B352" t="s" s="50">
        <v>1001</v>
      </c>
      <c r="C352" t="s" s="14">
        <v>7</v>
      </c>
      <c r="D352" s="14"/>
      <c r="E352" s="51">
        <f>SUM(E342:E351)</f>
        <v>2034213</v>
      </c>
      <c r="F352" s="51">
        <f>SUM(F342:F351)</f>
        <v>386500.47</v>
      </c>
      <c r="G352" s="45">
        <f>SUM(G342:G351)</f>
        <v>2420713.47</v>
      </c>
      <c r="H352" s="17">
        <f>SUM(H342:H351)</f>
        <v>2034213</v>
      </c>
      <c r="I352" s="18">
        <f>COUNTIF(I342:I351,TRUE())</f>
        <v>7</v>
      </c>
    </row>
    <row r="353" ht="18" customHeight="1">
      <c r="A353" s="69"/>
      <c r="B353" s="70"/>
      <c r="C353" s="69"/>
      <c r="D353" s="69"/>
      <c r="E353" s="71"/>
      <c r="F353" s="51"/>
      <c r="G353" s="45"/>
      <c r="H353" s="17"/>
      <c r="I353" s="19"/>
    </row>
    <row r="354" ht="18" customHeight="1">
      <c r="A354" s="72"/>
      <c r="B354" s="73"/>
      <c r="C354" s="72"/>
      <c r="D354" s="72"/>
      <c r="E354" s="74"/>
      <c r="F354" s="51"/>
      <c r="G354" s="45"/>
      <c r="H354" s="17"/>
      <c r="I354" s="19"/>
    </row>
  </sheetData>
  <mergeCells count="1">
    <mergeCell ref="A1:I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Q66"/>
  <sheetViews>
    <sheetView workbookViewId="0" showGridLines="0" defaultGridColor="1">
      <pane topLeftCell="B2" xSplit="1" ySplit="1" activePane="bottomRight" state="frozen"/>
    </sheetView>
  </sheetViews>
  <sheetFormatPr defaultColWidth="10.8333" defaultRowHeight="12.2" customHeight="1" outlineLevelRow="0" outlineLevelCol="0"/>
  <cols>
    <col min="1" max="1" width="5.85156" style="75" customWidth="1"/>
    <col min="2" max="2" width="9" style="75" customWidth="1"/>
    <col min="3" max="3" width="11.1719" style="75" customWidth="1"/>
    <col min="4" max="4" width="21.5" style="75" customWidth="1"/>
    <col min="5" max="6" width="7.17188" style="75" customWidth="1"/>
    <col min="7" max="7" width="9.35156" style="75" customWidth="1"/>
    <col min="8" max="8" width="8.72656" style="75" customWidth="1"/>
    <col min="9" max="9" width="9.35156" style="75" customWidth="1"/>
    <col min="10" max="12" width="8.72656" style="75" customWidth="1"/>
    <col min="13" max="13" width="4.73438" style="75" customWidth="1"/>
    <col min="14" max="17" width="8.72656" style="75" customWidth="1"/>
    <col min="18" max="256" width="10.8516" style="75" customWidth="1"/>
  </cols>
  <sheetData>
    <row r="1" ht="13.5" customHeight="1">
      <c r="A1" t="s" s="76">
        <v>1</v>
      </c>
      <c r="B1" t="s" s="77">
        <v>2</v>
      </c>
      <c r="C1" t="s" s="78">
        <v>3</v>
      </c>
      <c r="D1" t="s" s="78">
        <v>4</v>
      </c>
      <c r="E1" t="s" s="78">
        <v>8</v>
      </c>
      <c r="F1" t="s" s="78">
        <v>1002</v>
      </c>
      <c r="G1" t="s" s="78">
        <v>5</v>
      </c>
      <c r="H1" t="s" s="78">
        <v>6</v>
      </c>
      <c r="I1" t="s" s="78">
        <v>7</v>
      </c>
      <c r="J1" t="s" s="78">
        <v>1003</v>
      </c>
      <c r="K1" t="s" s="78">
        <v>1004</v>
      </c>
      <c r="L1" t="s" s="78">
        <v>1005</v>
      </c>
      <c r="M1" t="s" s="78">
        <v>1006</v>
      </c>
      <c r="N1" s="79"/>
      <c r="O1" t="s" s="78">
        <v>1007</v>
      </c>
      <c r="P1" t="s" s="78">
        <v>1008</v>
      </c>
      <c r="Q1" t="s" s="80">
        <v>1009</v>
      </c>
    </row>
    <row r="2" ht="14" customHeight="1">
      <c r="A2" s="81">
        <v>2</v>
      </c>
      <c r="B2" s="82"/>
      <c r="C2" t="s" s="83">
        <v>632</v>
      </c>
      <c r="D2" t="s" s="83">
        <v>1010</v>
      </c>
      <c r="E2" t="b" s="84">
        <v>1</v>
      </c>
      <c r="F2" s="85">
        <v>0</v>
      </c>
      <c r="G2" s="86">
        <v>112500</v>
      </c>
      <c r="H2" s="86">
        <f>G2*0.19</f>
        <v>21375</v>
      </c>
      <c r="I2" s="86">
        <f>G2*1.19</f>
        <v>133875</v>
      </c>
      <c r="J2" s="86">
        <f>G2</f>
        <v>112500</v>
      </c>
      <c r="K2" s="86"/>
      <c r="L2" s="86"/>
      <c r="M2" t="b" s="87">
        <v>1</v>
      </c>
      <c r="N2" s="86">
        <f>IF(M2,G2,0)</f>
        <v>112500</v>
      </c>
      <c r="O2" s="86">
        <f>IF(M2,0,G2)</f>
        <v>0</v>
      </c>
      <c r="P2" s="86">
        <f>IF(E2,G2)</f>
        <v>112500</v>
      </c>
      <c r="Q2" s="88">
        <f>IF(E2,0,G2)</f>
        <v>0</v>
      </c>
    </row>
    <row r="3" ht="14" customHeight="1">
      <c r="A3" s="89">
        <v>3</v>
      </c>
      <c r="B3" s="90"/>
      <c r="C3" t="s" s="91">
        <v>1011</v>
      </c>
      <c r="D3" t="s" s="91">
        <v>1012</v>
      </c>
      <c r="E3" t="b" s="92">
        <v>0</v>
      </c>
      <c r="F3" s="93">
        <v>0</v>
      </c>
      <c r="G3" s="94">
        <v>60000</v>
      </c>
      <c r="H3" s="94">
        <f>G3*0.19</f>
        <v>11400</v>
      </c>
      <c r="I3" s="94">
        <f>G3*1.19</f>
        <v>71400</v>
      </c>
      <c r="J3" s="94">
        <f>G3</f>
        <v>60000</v>
      </c>
      <c r="K3" s="94"/>
      <c r="L3" s="94"/>
      <c r="M3" t="b" s="95">
        <v>1</v>
      </c>
      <c r="N3" s="94">
        <f>IF(M3,G3,0)</f>
        <v>60000</v>
      </c>
      <c r="O3" s="94">
        <f>IF(M3,0,G3)</f>
        <v>0</v>
      </c>
      <c r="P3" s="94">
        <f>IF(E3,G3)</f>
        <v>0</v>
      </c>
      <c r="Q3" s="96">
        <f>IF(E3,0,G3)</f>
        <v>60000</v>
      </c>
    </row>
    <row r="4" ht="14" customHeight="1">
      <c r="A4" s="89">
        <v>4</v>
      </c>
      <c r="B4" s="97"/>
      <c r="C4" t="s" s="98">
        <v>1013</v>
      </c>
      <c r="D4" t="s" s="98">
        <v>8</v>
      </c>
      <c r="E4" t="b" s="99">
        <v>1</v>
      </c>
      <c r="F4" s="100">
        <v>0</v>
      </c>
      <c r="G4" s="101">
        <v>106903</v>
      </c>
      <c r="H4" s="101">
        <f>G4*0.19</f>
        <v>20311.57</v>
      </c>
      <c r="I4" s="101">
        <f>G4*1.19</f>
        <v>127214.57</v>
      </c>
      <c r="J4" s="101">
        <f>G4</f>
        <v>106903</v>
      </c>
      <c r="K4" s="101"/>
      <c r="L4" s="101"/>
      <c r="M4" t="b" s="102">
        <v>1</v>
      </c>
      <c r="N4" s="101">
        <f>IF(M4,G4,0)</f>
        <v>106903</v>
      </c>
      <c r="O4" s="101">
        <f>IF(M4,0,G4)</f>
        <v>0</v>
      </c>
      <c r="P4" s="101">
        <f>IF(E4,G4)</f>
        <v>106903</v>
      </c>
      <c r="Q4" s="103">
        <f>IF(E4,0,G4)</f>
        <v>0</v>
      </c>
    </row>
    <row r="5" ht="14" customHeight="1">
      <c r="A5" s="104">
        <v>5</v>
      </c>
      <c r="B5" s="105"/>
      <c r="C5" t="s" s="106">
        <v>1014</v>
      </c>
      <c r="D5" t="s" s="106">
        <v>1015</v>
      </c>
      <c r="E5" t="b" s="107">
        <v>0</v>
      </c>
      <c r="F5" s="108">
        <v>0</v>
      </c>
      <c r="G5" s="109">
        <v>390000</v>
      </c>
      <c r="H5" s="109">
        <f>G5*0.19</f>
        <v>74100</v>
      </c>
      <c r="I5" s="109">
        <f>G5*1.19</f>
        <v>464100</v>
      </c>
      <c r="J5" s="109">
        <f>G5</f>
        <v>390000</v>
      </c>
      <c r="K5" s="109"/>
      <c r="L5" s="109"/>
      <c r="M5" t="b" s="110">
        <v>1</v>
      </c>
      <c r="N5" s="109">
        <f>IF(M5,G5,0)</f>
        <v>390000</v>
      </c>
      <c r="O5" s="109">
        <f>IF(M5,0,G5)</f>
        <v>0</v>
      </c>
      <c r="P5" s="109">
        <f>IF(E5,G5)</f>
        <v>0</v>
      </c>
      <c r="Q5" s="111">
        <f>IF(E5,0,G5)</f>
        <v>390000</v>
      </c>
    </row>
    <row r="6" ht="14" customHeight="1">
      <c r="A6" s="112">
        <f>COUNTA(A1:A5)</f>
        <v>5</v>
      </c>
      <c r="B6" s="113">
        <v>43040</v>
      </c>
      <c r="C6" s="114"/>
      <c r="D6" s="115"/>
      <c r="E6" s="116"/>
      <c r="F6" s="117"/>
      <c r="G6" s="118">
        <f>SUM(G1:G5)</f>
        <v>669403</v>
      </c>
      <c r="H6" s="118">
        <f>SUM(H1:H5)</f>
        <v>127186.57</v>
      </c>
      <c r="I6" s="118">
        <f>SUM(I1:I5)</f>
        <v>796589.5700000001</v>
      </c>
      <c r="J6" s="118">
        <f>SUM(J1:J5)</f>
        <v>669403</v>
      </c>
      <c r="K6" s="118">
        <f>SUM(K1:K5)</f>
        <v>0</v>
      </c>
      <c r="L6" s="118">
        <f>SUM(L1:L5)</f>
        <v>0</v>
      </c>
      <c r="M6" s="118"/>
      <c r="N6" s="118">
        <f>SUM(N1:N5)</f>
        <v>669403</v>
      </c>
      <c r="O6" s="118">
        <f>SUM(O1:O5)</f>
        <v>0</v>
      </c>
      <c r="P6" s="118">
        <f>SUM(P1:P5)</f>
        <v>219403</v>
      </c>
      <c r="Q6" s="119">
        <f>SUM(Q1:Q5)</f>
        <v>450000</v>
      </c>
    </row>
    <row r="7" ht="14" customHeight="1">
      <c r="A7" s="120"/>
      <c r="B7" s="121"/>
      <c r="C7" s="122"/>
      <c r="D7" s="123"/>
      <c r="E7" s="124"/>
      <c r="F7" s="125"/>
      <c r="G7" s="126"/>
      <c r="H7" s="126"/>
      <c r="I7" s="126"/>
      <c r="J7" s="126"/>
      <c r="K7" s="126"/>
      <c r="L7" s="126"/>
      <c r="M7" s="122"/>
      <c r="N7" s="126"/>
      <c r="O7" s="126"/>
      <c r="P7" s="126"/>
      <c r="Q7" s="127"/>
    </row>
    <row r="8" ht="14" customHeight="1">
      <c r="A8" s="81">
        <v>8</v>
      </c>
      <c r="B8" s="82"/>
      <c r="C8" t="s" s="83">
        <v>632</v>
      </c>
      <c r="D8" t="s" s="83">
        <v>1016</v>
      </c>
      <c r="E8" t="b" s="84">
        <v>1</v>
      </c>
      <c r="F8" s="85">
        <v>0</v>
      </c>
      <c r="G8" s="86">
        <v>146264</v>
      </c>
      <c r="H8" s="86">
        <f>G8*0.19</f>
        <v>27790.16</v>
      </c>
      <c r="I8" s="86">
        <f>G8*1.19</f>
        <v>174054.16</v>
      </c>
      <c r="J8" s="86">
        <f>G8</f>
        <v>146264</v>
      </c>
      <c r="K8" s="86"/>
      <c r="L8" s="86"/>
      <c r="M8" t="b" s="87">
        <v>1</v>
      </c>
      <c r="N8" s="86">
        <f>IF(M8,G8,0)</f>
        <v>146264</v>
      </c>
      <c r="O8" s="86">
        <f>IF(M8,0,G8)</f>
        <v>0</v>
      </c>
      <c r="P8" s="86">
        <f>IF(E8,G8)</f>
        <v>146264</v>
      </c>
      <c r="Q8" s="88">
        <f>IF(E8,0,G8)</f>
        <v>0</v>
      </c>
    </row>
    <row r="9" ht="14" customHeight="1">
      <c r="A9" s="89">
        <v>9</v>
      </c>
      <c r="B9" s="90"/>
      <c r="C9" t="s" s="91">
        <v>66</v>
      </c>
      <c r="D9" t="s" s="91">
        <v>741</v>
      </c>
      <c r="E9" t="b" s="92">
        <v>1</v>
      </c>
      <c r="F9" s="93">
        <v>0</v>
      </c>
      <c r="G9" s="94">
        <v>259614</v>
      </c>
      <c r="H9" s="94">
        <f>G9*0.19</f>
        <v>49326.66</v>
      </c>
      <c r="I9" s="94">
        <f>G9*1.19</f>
        <v>308940.66</v>
      </c>
      <c r="J9" s="94">
        <f>G9</f>
        <v>259614</v>
      </c>
      <c r="K9" s="94"/>
      <c r="L9" s="94"/>
      <c r="M9" t="b" s="95">
        <v>1</v>
      </c>
      <c r="N9" s="94">
        <f>IF(M9,G9,0)</f>
        <v>259614</v>
      </c>
      <c r="O9" s="94">
        <f>IF(M9,0,G9)</f>
        <v>0</v>
      </c>
      <c r="P9" s="94">
        <f>IF(E9,G9)</f>
        <v>259614</v>
      </c>
      <c r="Q9" s="96">
        <f>IF(E9,0,G9)</f>
        <v>0</v>
      </c>
    </row>
    <row r="10" ht="14" customHeight="1">
      <c r="A10" s="89">
        <v>10</v>
      </c>
      <c r="B10" s="97"/>
      <c r="C10" t="s" s="98">
        <v>66</v>
      </c>
      <c r="D10" t="s" s="98">
        <v>8</v>
      </c>
      <c r="E10" t="b" s="99">
        <v>1</v>
      </c>
      <c r="F10" s="100">
        <v>0</v>
      </c>
      <c r="G10" s="101">
        <v>130779</v>
      </c>
      <c r="H10" s="101">
        <f>G10*0.19</f>
        <v>24848.01</v>
      </c>
      <c r="I10" s="101">
        <f>G10*1.19</f>
        <v>155627.01</v>
      </c>
      <c r="J10" s="101">
        <f>G10</f>
        <v>130779</v>
      </c>
      <c r="K10" s="101"/>
      <c r="L10" s="101"/>
      <c r="M10" t="b" s="102">
        <v>1</v>
      </c>
      <c r="N10" s="101">
        <f>IF(M10,G10,0)</f>
        <v>130779</v>
      </c>
      <c r="O10" s="101">
        <f>IF(M10,0,G10)</f>
        <v>0</v>
      </c>
      <c r="P10" s="101">
        <f>IF(E10,G10)</f>
        <v>130779</v>
      </c>
      <c r="Q10" s="103">
        <f>IF(E10,0,G10)</f>
        <v>0</v>
      </c>
    </row>
    <row r="11" ht="14" customHeight="1">
      <c r="A11" s="89">
        <v>11</v>
      </c>
      <c r="B11" s="90"/>
      <c r="C11" t="s" s="91">
        <v>1014</v>
      </c>
      <c r="D11" t="s" s="91">
        <v>1017</v>
      </c>
      <c r="E11" t="b" s="92">
        <v>0</v>
      </c>
      <c r="F11" s="93">
        <v>0</v>
      </c>
      <c r="G11" s="94">
        <v>388708</v>
      </c>
      <c r="H11" s="94">
        <f>G11*0.19</f>
        <v>73854.52</v>
      </c>
      <c r="I11" s="94">
        <f>G11*1.19</f>
        <v>462562.52</v>
      </c>
      <c r="J11" s="94">
        <f>G11</f>
        <v>388708</v>
      </c>
      <c r="K11" s="94"/>
      <c r="L11" s="94"/>
      <c r="M11" t="b" s="95">
        <v>1</v>
      </c>
      <c r="N11" s="94">
        <f>IF(M11,G11,0)</f>
        <v>388708</v>
      </c>
      <c r="O11" s="94">
        <f>IF(M11,0,G11)</f>
        <v>0</v>
      </c>
      <c r="P11" s="94">
        <f>IF(E11,G11)</f>
        <v>0</v>
      </c>
      <c r="Q11" s="96">
        <f>IF(E11,0,G11)</f>
        <v>388708</v>
      </c>
    </row>
    <row r="12" ht="14" customHeight="1">
      <c r="A12" s="89">
        <v>12</v>
      </c>
      <c r="B12" s="97"/>
      <c r="C12" t="s" s="98">
        <v>1014</v>
      </c>
      <c r="D12" t="s" s="98">
        <v>1018</v>
      </c>
      <c r="E12" t="b" s="99">
        <v>0</v>
      </c>
      <c r="F12" s="100">
        <v>0</v>
      </c>
      <c r="G12" s="101">
        <v>135000</v>
      </c>
      <c r="H12" s="101">
        <f>G12*0.19</f>
        <v>25650</v>
      </c>
      <c r="I12" s="101">
        <f>G12*1.19</f>
        <v>160650</v>
      </c>
      <c r="J12" s="101">
        <f>G12</f>
        <v>135000</v>
      </c>
      <c r="K12" s="101"/>
      <c r="L12" s="101"/>
      <c r="M12" t="b" s="102">
        <v>1</v>
      </c>
      <c r="N12" s="101">
        <f>IF(M12,G12,0)</f>
        <v>135000</v>
      </c>
      <c r="O12" s="101">
        <f>IF(M12,0,G12)</f>
        <v>0</v>
      </c>
      <c r="P12" s="101">
        <f>IF(E12,G12)</f>
        <v>0</v>
      </c>
      <c r="Q12" s="103">
        <f>IF(E12,0,G12)</f>
        <v>135000</v>
      </c>
    </row>
    <row r="13" ht="14" customHeight="1">
      <c r="A13" s="104">
        <v>13</v>
      </c>
      <c r="B13" s="105"/>
      <c r="C13" t="s" s="106">
        <v>1014</v>
      </c>
      <c r="D13" t="s" s="106">
        <v>1019</v>
      </c>
      <c r="E13" t="b" s="107">
        <v>0</v>
      </c>
      <c r="F13" s="108">
        <v>0</v>
      </c>
      <c r="G13" s="109">
        <v>82000</v>
      </c>
      <c r="H13" s="109">
        <f>G13*0.19</f>
        <v>15580</v>
      </c>
      <c r="I13" s="109">
        <f>G13*1.19</f>
        <v>97580</v>
      </c>
      <c r="J13" s="109">
        <f>G13</f>
        <v>82000</v>
      </c>
      <c r="K13" s="109"/>
      <c r="L13" s="109"/>
      <c r="M13" t="b" s="110">
        <v>1</v>
      </c>
      <c r="N13" s="109">
        <f>IF(M13,G13,0)</f>
        <v>82000</v>
      </c>
      <c r="O13" s="109">
        <f>IF(M13,0,G13)</f>
        <v>0</v>
      </c>
      <c r="P13" s="109">
        <f>IF(E13,G13)</f>
        <v>0</v>
      </c>
      <c r="Q13" s="111">
        <f>IF(E13,0,G13)</f>
        <v>82000</v>
      </c>
    </row>
    <row r="14" ht="14" customHeight="1">
      <c r="A14" s="112">
        <f>COUNTA(A8:A13)</f>
        <v>6</v>
      </c>
      <c r="B14" s="113">
        <v>43101</v>
      </c>
      <c r="C14" s="114"/>
      <c r="D14" s="115"/>
      <c r="E14" s="116"/>
      <c r="F14" s="117"/>
      <c r="G14" s="118">
        <f>SUM(G8:G13)</f>
        <v>1142365</v>
      </c>
      <c r="H14" s="118">
        <f>G14*0.19</f>
        <v>217049.35</v>
      </c>
      <c r="I14" s="118">
        <f>G14*1.19</f>
        <v>1359414.35</v>
      </c>
      <c r="J14" s="118">
        <f>SUM(J8:J13)</f>
        <v>1142365</v>
      </c>
      <c r="K14" s="118">
        <f>SUM(K8:K13)</f>
        <v>0</v>
      </c>
      <c r="L14" s="118">
        <f>SUM(L8:L13)</f>
        <v>0</v>
      </c>
      <c r="M14" s="118"/>
      <c r="N14" s="118">
        <f>SUM(N8:N13)</f>
        <v>1142365</v>
      </c>
      <c r="O14" s="118">
        <f>SUM(O8:O13)</f>
        <v>0</v>
      </c>
      <c r="P14" s="118">
        <f>SUM(P8:P13)</f>
        <v>536657</v>
      </c>
      <c r="Q14" s="119">
        <f>SUM(Q8:Q13)</f>
        <v>605708</v>
      </c>
    </row>
    <row r="15" ht="14" customHeight="1">
      <c r="A15" s="120"/>
      <c r="B15" s="121"/>
      <c r="C15" s="122"/>
      <c r="D15" s="123"/>
      <c r="E15" s="124"/>
      <c r="F15" s="125"/>
      <c r="G15" s="126"/>
      <c r="H15" s="126"/>
      <c r="I15" s="126"/>
      <c r="J15" s="126"/>
      <c r="K15" s="126"/>
      <c r="L15" s="126"/>
      <c r="M15" s="122"/>
      <c r="N15" s="126"/>
      <c r="O15" s="126"/>
      <c r="P15" s="126"/>
      <c r="Q15" s="127"/>
    </row>
    <row r="16" ht="14" customHeight="1">
      <c r="A16" s="81">
        <v>14</v>
      </c>
      <c r="B16" s="82"/>
      <c r="C16" t="s" s="83">
        <v>1014</v>
      </c>
      <c r="D16" t="s" s="83">
        <v>1020</v>
      </c>
      <c r="E16" t="b" s="84">
        <v>1</v>
      </c>
      <c r="F16" s="85">
        <v>0</v>
      </c>
      <c r="G16" s="86">
        <v>678684</v>
      </c>
      <c r="H16" s="86">
        <f>G16*0.19</f>
        <v>128949.96</v>
      </c>
      <c r="I16" s="86">
        <f>G16*1.19</f>
        <v>807633.96</v>
      </c>
      <c r="J16" s="86">
        <f>G16</f>
        <v>678684</v>
      </c>
      <c r="K16" s="86"/>
      <c r="L16" s="86"/>
      <c r="M16" t="b" s="87">
        <v>1</v>
      </c>
      <c r="N16" s="86">
        <f>IF(M16,G16,0)</f>
        <v>678684</v>
      </c>
      <c r="O16" s="86">
        <f>IF(M16,0,G16)</f>
        <v>0</v>
      </c>
      <c r="P16" s="86">
        <f>IF(E16,G16)</f>
        <v>678684</v>
      </c>
      <c r="Q16" s="88">
        <f>IF(E16,0,G16)</f>
        <v>0</v>
      </c>
    </row>
    <row r="17" ht="14" customHeight="1">
      <c r="A17" s="89">
        <v>15</v>
      </c>
      <c r="B17" s="90"/>
      <c r="C17" t="s" s="91">
        <v>1014</v>
      </c>
      <c r="D17" t="s" s="91">
        <v>1021</v>
      </c>
      <c r="E17" t="b" s="92">
        <v>0</v>
      </c>
      <c r="F17" s="93">
        <v>0</v>
      </c>
      <c r="G17" s="94">
        <v>320000</v>
      </c>
      <c r="H17" s="94">
        <f>G17*0.19</f>
        <v>60800</v>
      </c>
      <c r="I17" s="94">
        <f>G17*1.19</f>
        <v>380800</v>
      </c>
      <c r="J17" s="94">
        <f>G17</f>
        <v>320000</v>
      </c>
      <c r="K17" s="94"/>
      <c r="L17" s="94"/>
      <c r="M17" t="b" s="95">
        <v>1</v>
      </c>
      <c r="N17" s="94">
        <f>IF(M17,G17,0)</f>
        <v>320000</v>
      </c>
      <c r="O17" s="94">
        <f>IF(M17,0,G17)</f>
        <v>0</v>
      </c>
      <c r="P17" s="94">
        <f>IF(E17,G17)</f>
        <v>0</v>
      </c>
      <c r="Q17" s="96">
        <f>IF(E17,0,G17)</f>
        <v>320000</v>
      </c>
    </row>
    <row r="18" ht="14" customHeight="1">
      <c r="A18" s="89">
        <v>16</v>
      </c>
      <c r="B18" s="97"/>
      <c r="C18" t="s" s="98">
        <v>22</v>
      </c>
      <c r="D18" t="s" s="98">
        <v>1022</v>
      </c>
      <c r="E18" t="b" s="99">
        <v>0</v>
      </c>
      <c r="F18" s="100">
        <v>0</v>
      </c>
      <c r="G18" s="101">
        <v>210000</v>
      </c>
      <c r="H18" s="101">
        <f>G18*0.19</f>
        <v>39900</v>
      </c>
      <c r="I18" s="101">
        <f>G18*1.19</f>
        <v>249900</v>
      </c>
      <c r="J18" s="101">
        <f>G18</f>
        <v>210000</v>
      </c>
      <c r="K18" s="101"/>
      <c r="L18" s="101"/>
      <c r="M18" t="b" s="102">
        <v>1</v>
      </c>
      <c r="N18" s="101">
        <f>IF(M18,G18,0)</f>
        <v>210000</v>
      </c>
      <c r="O18" s="101">
        <f>IF(M18,0,G18)</f>
        <v>0</v>
      </c>
      <c r="P18" s="101">
        <f>IF(E18,G18)</f>
        <v>0</v>
      </c>
      <c r="Q18" s="103">
        <f>IF(E18,0,G18)</f>
        <v>210000</v>
      </c>
    </row>
    <row r="19" ht="14" customHeight="1">
      <c r="A19" s="89">
        <v>18</v>
      </c>
      <c r="B19" s="90"/>
      <c r="C19" t="s" s="91">
        <v>1023</v>
      </c>
      <c r="D19" t="s" s="91">
        <v>8</v>
      </c>
      <c r="E19" t="b" s="92">
        <v>1</v>
      </c>
      <c r="F19" s="93">
        <v>0</v>
      </c>
      <c r="G19" s="94">
        <v>46044</v>
      </c>
      <c r="H19" s="94">
        <f>G19*0.19</f>
        <v>8748.360000000001</v>
      </c>
      <c r="I19" s="94">
        <f>G19*1.19</f>
        <v>54792.36</v>
      </c>
      <c r="J19" s="94"/>
      <c r="K19" s="94">
        <f>G19</f>
        <v>46044</v>
      </c>
      <c r="L19" s="94">
        <f>K19/4</f>
        <v>11511</v>
      </c>
      <c r="M19" t="b" s="95">
        <v>1</v>
      </c>
      <c r="N19" s="94">
        <f>IF(M19,G19,0)</f>
        <v>46044</v>
      </c>
      <c r="O19" s="94">
        <f>IF(M19,0,G19)</f>
        <v>0</v>
      </c>
      <c r="P19" s="94">
        <f>IF(E19,G19)</f>
        <v>46044</v>
      </c>
      <c r="Q19" s="96">
        <f>IF(E19,0,G19)</f>
        <v>0</v>
      </c>
    </row>
    <row r="20" ht="14" customHeight="1">
      <c r="A20" s="89">
        <v>19</v>
      </c>
      <c r="B20" s="97"/>
      <c r="C20" t="s" s="98">
        <v>22</v>
      </c>
      <c r="D20" t="s" s="98">
        <v>1020</v>
      </c>
      <c r="E20" t="b" s="99">
        <v>1</v>
      </c>
      <c r="F20" s="100">
        <v>0</v>
      </c>
      <c r="G20" s="101">
        <v>749785</v>
      </c>
      <c r="H20" s="101">
        <f>G20*0.19</f>
        <v>142459.15</v>
      </c>
      <c r="I20" s="101">
        <f>G20*1.19</f>
        <v>892244.1499999999</v>
      </c>
      <c r="J20" s="101">
        <f>G20</f>
        <v>749785</v>
      </c>
      <c r="K20" s="101"/>
      <c r="L20" s="101">
        <f>K20/4</f>
        <v>0</v>
      </c>
      <c r="M20" t="b" s="102">
        <v>1</v>
      </c>
      <c r="N20" s="101">
        <f>IF(M20,G20,0)</f>
        <v>749785</v>
      </c>
      <c r="O20" s="101">
        <f>IF(M20,0,G20)</f>
        <v>0</v>
      </c>
      <c r="P20" s="101">
        <f>IF(E20,G20)</f>
        <v>749785</v>
      </c>
      <c r="Q20" s="103">
        <f>IF(E20,0,G20)</f>
        <v>0</v>
      </c>
    </row>
    <row r="21" ht="14" customHeight="1">
      <c r="A21" s="89">
        <v>20</v>
      </c>
      <c r="B21" s="90"/>
      <c r="C21" t="s" s="91">
        <v>1011</v>
      </c>
      <c r="D21" t="s" s="91">
        <v>8</v>
      </c>
      <c r="E21" t="b" s="92">
        <v>1</v>
      </c>
      <c r="F21" s="93">
        <v>0</v>
      </c>
      <c r="G21" s="94">
        <v>36751</v>
      </c>
      <c r="H21" s="94">
        <f>G21*0.19</f>
        <v>6982.690000000001</v>
      </c>
      <c r="I21" s="94">
        <f>G21*1.19</f>
        <v>43733.69</v>
      </c>
      <c r="J21" s="94">
        <f>G21</f>
        <v>36751</v>
      </c>
      <c r="K21" s="94"/>
      <c r="L21" s="94">
        <f>K21/4</f>
        <v>0</v>
      </c>
      <c r="M21" t="b" s="95">
        <v>0</v>
      </c>
      <c r="N21" s="94">
        <f>IF(M21,G21,0)</f>
        <v>0</v>
      </c>
      <c r="O21" s="94">
        <f>IF(M21,0,G21)</f>
        <v>36751</v>
      </c>
      <c r="P21" s="94">
        <f>IF(E21,G21)</f>
        <v>36751</v>
      </c>
      <c r="Q21" s="96">
        <f>IF(E21,0,G21)</f>
        <v>0</v>
      </c>
    </row>
    <row r="22" ht="14" customHeight="1">
      <c r="A22" s="89">
        <v>21</v>
      </c>
      <c r="B22" s="97"/>
      <c r="C22" t="s" s="98">
        <v>1011</v>
      </c>
      <c r="D22" t="s" s="98">
        <v>8</v>
      </c>
      <c r="E22" t="b" s="99">
        <v>1</v>
      </c>
      <c r="F22" s="100">
        <v>0</v>
      </c>
      <c r="G22" s="101">
        <v>37101</v>
      </c>
      <c r="H22" s="101">
        <f>G22*0.19</f>
        <v>7049.190000000001</v>
      </c>
      <c r="I22" s="101">
        <f>G22*1.19</f>
        <v>44150.19</v>
      </c>
      <c r="J22" s="101"/>
      <c r="K22" s="101">
        <f>G22</f>
        <v>37101</v>
      </c>
      <c r="L22" s="101">
        <f>K22/4</f>
        <v>9275.25</v>
      </c>
      <c r="M22" t="b" s="102">
        <v>0</v>
      </c>
      <c r="N22" s="101">
        <f>IF(M22,G22,0)</f>
        <v>0</v>
      </c>
      <c r="O22" s="101">
        <f>IF(M22,0,G22)</f>
        <v>37101</v>
      </c>
      <c r="P22" s="101">
        <f>IF(E22,G22)</f>
        <v>37101</v>
      </c>
      <c r="Q22" s="103">
        <f>IF(E22,0,G22)</f>
        <v>0</v>
      </c>
    </row>
    <row r="23" ht="14" customHeight="1">
      <c r="A23" s="104">
        <v>25</v>
      </c>
      <c r="B23" s="105"/>
      <c r="C23" t="s" s="106">
        <v>1014</v>
      </c>
      <c r="D23" t="s" s="106">
        <v>664</v>
      </c>
      <c r="E23" t="b" s="107">
        <v>1</v>
      </c>
      <c r="F23" s="108">
        <v>0</v>
      </c>
      <c r="G23" s="109">
        <v>171083</v>
      </c>
      <c r="H23" s="109">
        <f>G23*0.19</f>
        <v>32505.77</v>
      </c>
      <c r="I23" s="109">
        <f>G23*1.19</f>
        <v>203588.77</v>
      </c>
      <c r="J23" s="109">
        <f>G23</f>
        <v>171083</v>
      </c>
      <c r="K23" s="109"/>
      <c r="L23" s="109">
        <f>K23/4</f>
        <v>0</v>
      </c>
      <c r="M23" t="b" s="110">
        <v>1</v>
      </c>
      <c r="N23" s="109">
        <f>IF(M23,G23,0)</f>
        <v>171083</v>
      </c>
      <c r="O23" s="109">
        <f>IF(M23,0,G23)</f>
        <v>0</v>
      </c>
      <c r="P23" s="109">
        <f>IF(E23,G23)</f>
        <v>171083</v>
      </c>
      <c r="Q23" s="111">
        <f>IF(E23,0,G23)</f>
        <v>0</v>
      </c>
    </row>
    <row r="24" ht="14" customHeight="1">
      <c r="A24" s="112">
        <f>COUNTA(A16:A23)</f>
        <v>8</v>
      </c>
      <c r="B24" t="s" s="128">
        <v>122</v>
      </c>
      <c r="C24" s="114"/>
      <c r="D24" s="115"/>
      <c r="E24" s="116"/>
      <c r="F24" s="117"/>
      <c r="G24" s="118">
        <f>SUM(G16:G23)</f>
        <v>2249448</v>
      </c>
      <c r="H24" s="118">
        <f>G24*0.19</f>
        <v>427395.12</v>
      </c>
      <c r="I24" s="118">
        <f>G24*1.19</f>
        <v>2676843.12</v>
      </c>
      <c r="J24" s="118">
        <f>SUM(J16:J23)</f>
        <v>2166303</v>
      </c>
      <c r="K24" s="118">
        <f>SUM(K16:K23)</f>
        <v>83145</v>
      </c>
      <c r="L24" s="118">
        <f>SUM(L16:L23)</f>
        <v>20786.25</v>
      </c>
      <c r="M24" s="114"/>
      <c r="N24" s="118">
        <f>SUM(N16:N23)</f>
        <v>2175596</v>
      </c>
      <c r="O24" s="118">
        <f>SUM(O16:O23)</f>
        <v>73852</v>
      </c>
      <c r="P24" s="118">
        <f>SUM(P16:P23)</f>
        <v>1719448</v>
      </c>
      <c r="Q24" s="119">
        <f>SUM(Q16:Q23)</f>
        <v>530000</v>
      </c>
    </row>
    <row r="25" ht="14" customHeight="1">
      <c r="A25" s="120"/>
      <c r="B25" s="121"/>
      <c r="C25" s="122"/>
      <c r="D25" s="123"/>
      <c r="E25" s="124"/>
      <c r="F25" s="125"/>
      <c r="G25" s="126"/>
      <c r="H25" s="126"/>
      <c r="I25" s="126"/>
      <c r="J25" s="126"/>
      <c r="K25" s="126"/>
      <c r="L25" s="126"/>
      <c r="M25" s="122"/>
      <c r="N25" s="126"/>
      <c r="O25" s="126"/>
      <c r="P25" s="126"/>
      <c r="Q25" s="127"/>
    </row>
    <row r="26" ht="14" customHeight="1">
      <c r="A26" s="81">
        <v>26</v>
      </c>
      <c r="B26" s="82"/>
      <c r="C26" t="s" s="83">
        <v>632</v>
      </c>
      <c r="D26" t="s" s="83">
        <v>1024</v>
      </c>
      <c r="E26" t="b" s="84">
        <v>1</v>
      </c>
      <c r="F26" s="85">
        <v>0</v>
      </c>
      <c r="G26" s="86">
        <v>209143</v>
      </c>
      <c r="H26" s="86">
        <f>G26*0.19</f>
        <v>39737.17</v>
      </c>
      <c r="I26" s="86">
        <f>G26*1.19</f>
        <v>248880.17</v>
      </c>
      <c r="J26" s="86"/>
      <c r="K26" s="86">
        <f>G26</f>
        <v>209143</v>
      </c>
      <c r="L26" s="86">
        <f>K26/4</f>
        <v>52285.75</v>
      </c>
      <c r="M26" t="b" s="87">
        <v>1</v>
      </c>
      <c r="N26" s="86">
        <f>IF(M26,G26,0)</f>
        <v>209143</v>
      </c>
      <c r="O26" s="86">
        <f>IF(M26,0,G26)</f>
        <v>0</v>
      </c>
      <c r="P26" s="86">
        <f>IF(E26,G26)</f>
        <v>209143</v>
      </c>
      <c r="Q26" s="88">
        <f>IF(E26,0,G26)</f>
        <v>0</v>
      </c>
    </row>
    <row r="27" ht="14" customHeight="1">
      <c r="A27" s="89">
        <v>27</v>
      </c>
      <c r="B27" s="90"/>
      <c r="C27" t="s" s="91">
        <v>1025</v>
      </c>
      <c r="D27" t="s" s="91">
        <v>1026</v>
      </c>
      <c r="E27" t="b" s="92">
        <v>1</v>
      </c>
      <c r="F27" s="93">
        <v>0</v>
      </c>
      <c r="G27" s="94">
        <v>109678</v>
      </c>
      <c r="H27" s="94">
        <f>G27*0.19</f>
        <v>20838.82</v>
      </c>
      <c r="I27" s="94">
        <f>G27*1.19</f>
        <v>130516.82</v>
      </c>
      <c r="J27" s="94">
        <v>73119</v>
      </c>
      <c r="K27" s="94">
        <f>G27-J27</f>
        <v>36559</v>
      </c>
      <c r="L27" s="94">
        <f>K27/4</f>
        <v>9139.75</v>
      </c>
      <c r="M27" t="b" s="95">
        <v>0</v>
      </c>
      <c r="N27" s="94">
        <f>IF(M27,G27,0)</f>
        <v>0</v>
      </c>
      <c r="O27" s="94">
        <f>IF(M27,0,G27)</f>
        <v>109678</v>
      </c>
      <c r="P27" s="94">
        <f>IF(E27,G27)</f>
        <v>109678</v>
      </c>
      <c r="Q27" s="96">
        <f>IF(E27,0,G27)</f>
        <v>0</v>
      </c>
    </row>
    <row r="28" ht="14" customHeight="1">
      <c r="A28" s="89">
        <v>30</v>
      </c>
      <c r="B28" s="97"/>
      <c r="C28" t="s" s="98">
        <v>1027</v>
      </c>
      <c r="D28" t="s" s="98">
        <v>1026</v>
      </c>
      <c r="E28" t="b" s="99">
        <v>1</v>
      </c>
      <c r="F28" s="100">
        <v>0</v>
      </c>
      <c r="G28" s="101">
        <v>109678</v>
      </c>
      <c r="H28" s="101">
        <f>G28*0.19</f>
        <v>20838.82</v>
      </c>
      <c r="I28" s="101">
        <f>G28*1.19</f>
        <v>130516.82</v>
      </c>
      <c r="J28" s="101">
        <v>73119</v>
      </c>
      <c r="K28" s="101">
        <f>G28-J28</f>
        <v>36559</v>
      </c>
      <c r="L28" s="101">
        <f>K28/4</f>
        <v>9139.75</v>
      </c>
      <c r="M28" t="b" s="102">
        <v>0</v>
      </c>
      <c r="N28" s="101">
        <f>IF(M28,G28,0)</f>
        <v>0</v>
      </c>
      <c r="O28" s="101">
        <f>IF(M28,0,G28)</f>
        <v>109678</v>
      </c>
      <c r="P28" s="101">
        <f>IF(E28,G28)</f>
        <v>109678</v>
      </c>
      <c r="Q28" s="103">
        <f>IF(E28,0,G28)</f>
        <v>0</v>
      </c>
    </row>
    <row r="29" ht="14" customHeight="1">
      <c r="A29" s="89">
        <v>31</v>
      </c>
      <c r="B29" s="90"/>
      <c r="C29" t="s" s="91">
        <v>1023</v>
      </c>
      <c r="D29" t="s" s="91">
        <v>1028</v>
      </c>
      <c r="E29" t="b" s="92">
        <v>0</v>
      </c>
      <c r="F29" s="93">
        <v>0</v>
      </c>
      <c r="G29" s="94">
        <v>40000</v>
      </c>
      <c r="H29" s="94">
        <f>G29*0.19</f>
        <v>7600</v>
      </c>
      <c r="I29" s="94">
        <f>G29*1.19</f>
        <v>47600</v>
      </c>
      <c r="J29" s="94">
        <f>G29</f>
        <v>40000</v>
      </c>
      <c r="K29" s="94">
        <f>G29-J29</f>
        <v>0</v>
      </c>
      <c r="L29" s="94">
        <f>K29/4</f>
        <v>0</v>
      </c>
      <c r="M29" t="b" s="95">
        <v>0</v>
      </c>
      <c r="N29" s="94">
        <f>IF(M29,G29,0)</f>
        <v>0</v>
      </c>
      <c r="O29" s="94">
        <f>IF(M29,0,G29)</f>
        <v>40000</v>
      </c>
      <c r="P29" s="94">
        <f>IF(E29,G29)</f>
        <v>0</v>
      </c>
      <c r="Q29" s="96">
        <f>IF(E29,0,G29)</f>
        <v>40000</v>
      </c>
    </row>
    <row r="30" ht="14" customHeight="1">
      <c r="A30" s="89">
        <v>32</v>
      </c>
      <c r="B30" s="97">
        <v>43282</v>
      </c>
      <c r="C30" t="s" s="98">
        <v>632</v>
      </c>
      <c r="D30" t="s" s="98">
        <v>86</v>
      </c>
      <c r="E30" t="b" s="99">
        <v>0</v>
      </c>
      <c r="F30" s="100">
        <v>0</v>
      </c>
      <c r="G30" s="101">
        <v>30000</v>
      </c>
      <c r="H30" s="101">
        <f>G30*0.19</f>
        <v>5700</v>
      </c>
      <c r="I30" s="101">
        <f>G30*1.19</f>
        <v>35700</v>
      </c>
      <c r="J30" s="101">
        <f>G30</f>
        <v>30000</v>
      </c>
      <c r="K30" s="101">
        <f>G30-J30</f>
        <v>0</v>
      </c>
      <c r="L30" s="101">
        <f>K30/4</f>
        <v>0</v>
      </c>
      <c r="M30" t="b" s="102">
        <v>1</v>
      </c>
      <c r="N30" s="101">
        <f>IF(M30,G30,0)</f>
        <v>30000</v>
      </c>
      <c r="O30" s="101">
        <f>IF(M30,0,G30)</f>
        <v>0</v>
      </c>
      <c r="P30" s="101">
        <f>IF(E30,G30)</f>
        <v>0</v>
      </c>
      <c r="Q30" s="103">
        <f>IF(E30,0,G30)</f>
        <v>30000</v>
      </c>
    </row>
    <row r="31" ht="14" customHeight="1">
      <c r="A31" s="89">
        <v>33</v>
      </c>
      <c r="B31" s="90">
        <v>43282</v>
      </c>
      <c r="C31" t="s" s="91">
        <v>66</v>
      </c>
      <c r="D31" t="s" s="91">
        <v>8</v>
      </c>
      <c r="E31" t="b" s="92">
        <v>1</v>
      </c>
      <c r="F31" s="93">
        <v>0</v>
      </c>
      <c r="G31" s="94">
        <v>132548</v>
      </c>
      <c r="H31" s="94">
        <f>G31*0.19</f>
        <v>25184.12</v>
      </c>
      <c r="I31" s="94">
        <f>G31*1.19</f>
        <v>157732.12</v>
      </c>
      <c r="J31" s="94"/>
      <c r="K31" s="94">
        <f>G31-J31</f>
        <v>132548</v>
      </c>
      <c r="L31" s="94">
        <f>K31/4</f>
        <v>33137</v>
      </c>
      <c r="M31" t="b" s="95">
        <v>1</v>
      </c>
      <c r="N31" s="94">
        <f>IF(M31,G31,0)</f>
        <v>132548</v>
      </c>
      <c r="O31" s="94">
        <f>IF(M31,0,G31)</f>
        <v>0</v>
      </c>
      <c r="P31" s="94">
        <f>IF(E31,G31)</f>
        <v>132548</v>
      </c>
      <c r="Q31" s="96">
        <f>IF(E31,0,G31)</f>
        <v>0</v>
      </c>
    </row>
    <row r="32" ht="14" customHeight="1">
      <c r="A32" s="89">
        <v>35</v>
      </c>
      <c r="B32" s="97">
        <v>43304</v>
      </c>
      <c r="C32" t="s" s="98">
        <v>22</v>
      </c>
      <c r="D32" t="s" s="98">
        <v>1029</v>
      </c>
      <c r="E32" t="b" s="99">
        <v>1</v>
      </c>
      <c r="F32" s="100">
        <v>0</v>
      </c>
      <c r="G32" s="101">
        <v>377527</v>
      </c>
      <c r="H32" s="101">
        <f>G32*0.19</f>
        <v>71730.13</v>
      </c>
      <c r="I32" s="101">
        <f>G32*1.19</f>
        <v>449257.13</v>
      </c>
      <c r="J32" s="101"/>
      <c r="K32" s="101">
        <f>G32-J32</f>
        <v>377527</v>
      </c>
      <c r="L32" s="101">
        <f>K32/4</f>
        <v>94381.75</v>
      </c>
      <c r="M32" t="b" s="102">
        <v>0</v>
      </c>
      <c r="N32" s="101">
        <f>IF(M32,G32,0)</f>
        <v>0</v>
      </c>
      <c r="O32" s="101">
        <f>IF(M32,0,G32)</f>
        <v>377527</v>
      </c>
      <c r="P32" s="101">
        <f>IF(E32,G32)</f>
        <v>377527</v>
      </c>
      <c r="Q32" s="103">
        <f>IF(E32,0,G32)</f>
        <v>0</v>
      </c>
    </row>
    <row r="33" ht="14" customHeight="1">
      <c r="A33" s="104">
        <v>36</v>
      </c>
      <c r="B33" s="105">
        <v>43304</v>
      </c>
      <c r="C33" t="s" s="106">
        <v>1023</v>
      </c>
      <c r="D33" t="s" s="106">
        <v>1030</v>
      </c>
      <c r="E33" t="b" s="107">
        <v>1</v>
      </c>
      <c r="F33" s="108">
        <v>0</v>
      </c>
      <c r="G33" s="109">
        <v>46044</v>
      </c>
      <c r="H33" s="109">
        <f>G33*0.19</f>
        <v>8748.360000000001</v>
      </c>
      <c r="I33" s="109">
        <f>G33*1.19</f>
        <v>54792.36</v>
      </c>
      <c r="J33" s="109"/>
      <c r="K33" s="109">
        <f>G33-J33</f>
        <v>46044</v>
      </c>
      <c r="L33" s="109">
        <f>K33/4</f>
        <v>11511</v>
      </c>
      <c r="M33" t="b" s="110">
        <v>0</v>
      </c>
      <c r="N33" s="109">
        <f>IF(M33,G33,0)</f>
        <v>0</v>
      </c>
      <c r="O33" s="109">
        <f>IF(M33,0,G33)</f>
        <v>46044</v>
      </c>
      <c r="P33" s="109">
        <f>IF(E33,G33)</f>
        <v>46044</v>
      </c>
      <c r="Q33" s="111">
        <f>IF(E33,0,G33)</f>
        <v>0</v>
      </c>
    </row>
    <row r="34" ht="14" customHeight="1">
      <c r="A34" s="129">
        <f>COUNTA(A26:A33)</f>
        <v>8</v>
      </c>
      <c r="B34" t="s" s="115">
        <v>140</v>
      </c>
      <c r="C34" s="130">
        <v>27161.48</v>
      </c>
      <c r="D34" s="115"/>
      <c r="E34" s="116"/>
      <c r="F34" s="117"/>
      <c r="G34" s="118">
        <f>SUM(G26:G33)</f>
        <v>1054618</v>
      </c>
      <c r="H34" s="118">
        <f>G34*0.19</f>
        <v>200377.42</v>
      </c>
      <c r="I34" s="118">
        <f>G34*1.19</f>
        <v>1254995.42</v>
      </c>
      <c r="J34" s="118">
        <f>SUM(J26:J33)</f>
        <v>216238</v>
      </c>
      <c r="K34" s="118">
        <f>SUM(K26:K33)</f>
        <v>838380</v>
      </c>
      <c r="L34" s="118">
        <f>SUM(L26:L33)</f>
        <v>209595</v>
      </c>
      <c r="M34" s="114"/>
      <c r="N34" s="118">
        <f>SUM(N26:N33)</f>
        <v>371691</v>
      </c>
      <c r="O34" s="118">
        <f>SUM(O26:O33)</f>
        <v>682927</v>
      </c>
      <c r="P34" s="118">
        <f>SUM(P26:P33)</f>
        <v>984618</v>
      </c>
      <c r="Q34" s="119">
        <f>SUM(Q26:Q33)</f>
        <v>70000</v>
      </c>
    </row>
    <row r="35" ht="14" customHeight="1">
      <c r="A35" s="120"/>
      <c r="B35" s="121"/>
      <c r="C35" s="122"/>
      <c r="D35" s="123"/>
      <c r="E35" s="124"/>
      <c r="F35" s="125"/>
      <c r="G35" s="126"/>
      <c r="H35" s="126"/>
      <c r="I35" s="126"/>
      <c r="J35" s="126"/>
      <c r="K35" s="126"/>
      <c r="L35" s="126"/>
      <c r="M35" s="122"/>
      <c r="N35" s="126"/>
      <c r="O35" s="126"/>
      <c r="P35" s="126"/>
      <c r="Q35" s="127"/>
    </row>
    <row r="36" ht="14" customHeight="1">
      <c r="A36" s="81">
        <v>37</v>
      </c>
      <c r="B36" s="82">
        <v>43340</v>
      </c>
      <c r="C36" t="s" s="83">
        <v>1014</v>
      </c>
      <c r="D36" t="s" s="83">
        <v>1031</v>
      </c>
      <c r="E36" t="b" s="84">
        <v>0</v>
      </c>
      <c r="F36" s="85"/>
      <c r="G36" s="86">
        <v>375000</v>
      </c>
      <c r="H36" s="86">
        <f>G36*0.19</f>
        <v>71250</v>
      </c>
      <c r="I36" s="86">
        <f>G36*1.19</f>
        <v>446250</v>
      </c>
      <c r="J36" s="86">
        <f>G36</f>
        <v>375000</v>
      </c>
      <c r="K36" s="86">
        <f>G36-J36</f>
        <v>0</v>
      </c>
      <c r="L36" s="86">
        <f>K36/4</f>
        <v>0</v>
      </c>
      <c r="M36" t="b" s="87">
        <v>0</v>
      </c>
      <c r="N36" s="86">
        <f>IF(M36,G36,0)</f>
        <v>0</v>
      </c>
      <c r="O36" s="86">
        <f>IF(M36,0,G36)</f>
        <v>375000</v>
      </c>
      <c r="P36" s="86">
        <f>IF(E36,G36)</f>
        <v>0</v>
      </c>
      <c r="Q36" s="88">
        <f>IF(E36,0,G36)</f>
        <v>375000</v>
      </c>
    </row>
    <row r="37" ht="14" customHeight="1">
      <c r="A37" s="131">
        <f>COUNTA(A36:A36)</f>
        <v>1</v>
      </c>
      <c r="B37" t="s" s="106">
        <v>159</v>
      </c>
      <c r="C37" s="110">
        <v>27203.36</v>
      </c>
      <c r="D37" s="106"/>
      <c r="E37" s="132"/>
      <c r="F37" s="108"/>
      <c r="G37" s="109">
        <f>SUM(G36:G36)</f>
        <v>375000</v>
      </c>
      <c r="H37" s="109">
        <f>G37*0.19</f>
        <v>71250</v>
      </c>
      <c r="I37" s="109">
        <f>G37*1.19</f>
        <v>446250</v>
      </c>
      <c r="J37" s="109">
        <f>SUM(J36:J36)</f>
        <v>375000</v>
      </c>
      <c r="K37" s="109">
        <f>SUM(K36:K36)</f>
        <v>0</v>
      </c>
      <c r="L37" s="109">
        <f>SUM(L36:L36)</f>
        <v>0</v>
      </c>
      <c r="M37" s="133"/>
      <c r="N37" s="109">
        <f>SUM(N36:N36)</f>
        <v>0</v>
      </c>
      <c r="O37" s="109">
        <f>SUM(O36:O36)</f>
        <v>375000</v>
      </c>
      <c r="P37" s="109">
        <f>SUM(P36:P36)</f>
        <v>0</v>
      </c>
      <c r="Q37" s="134">
        <f>SUM(Q36:Q36)</f>
        <v>375000</v>
      </c>
    </row>
    <row r="38" ht="14" customHeight="1">
      <c r="A38" s="135"/>
      <c r="B38" s="136"/>
      <c r="C38" s="137"/>
      <c r="D38" s="138"/>
      <c r="E38" s="139"/>
      <c r="F38" s="140"/>
      <c r="G38" s="141"/>
      <c r="H38" s="141"/>
      <c r="I38" s="141"/>
      <c r="J38" s="141"/>
      <c r="K38" s="141"/>
      <c r="L38" s="141"/>
      <c r="M38" s="137"/>
      <c r="N38" s="141"/>
      <c r="O38" s="141"/>
      <c r="P38" s="141"/>
      <c r="Q38" s="142"/>
    </row>
    <row r="39" ht="14" customHeight="1">
      <c r="A39" s="143"/>
      <c r="B39" s="144"/>
      <c r="C39" s="145"/>
      <c r="D39" s="146"/>
      <c r="E39" s="147"/>
      <c r="F39" s="148"/>
      <c r="G39" s="149"/>
      <c r="H39" s="149"/>
      <c r="I39" s="149"/>
      <c r="J39" s="149"/>
      <c r="K39" s="149"/>
      <c r="L39" s="149"/>
      <c r="M39" s="145"/>
      <c r="N39" s="149"/>
      <c r="O39" s="149"/>
      <c r="P39" s="149"/>
      <c r="Q39" s="150"/>
    </row>
    <row r="40" ht="14" customHeight="1">
      <c r="A40" s="151"/>
      <c r="B40" s="113"/>
      <c r="C40" s="114"/>
      <c r="D40" s="115"/>
      <c r="E40" t="b" s="152">
        <v>0</v>
      </c>
      <c r="F40" s="117"/>
      <c r="G40" s="118"/>
      <c r="H40" s="118"/>
      <c r="I40" s="118"/>
      <c r="J40" s="118"/>
      <c r="K40" s="118"/>
      <c r="L40" s="118"/>
      <c r="M40" t="b" s="130">
        <v>0</v>
      </c>
      <c r="N40" s="118">
        <f>IF(M40,G40,0)</f>
        <v>0</v>
      </c>
      <c r="O40" s="118">
        <f>IF(M40,0,G40)</f>
        <v>0</v>
      </c>
      <c r="P40" s="118">
        <f>IF(E40,G40)</f>
        <v>0</v>
      </c>
      <c r="Q40" s="153">
        <f>IF(E40,0,G40)</f>
        <v>0</v>
      </c>
    </row>
    <row r="41" ht="14" customHeight="1">
      <c r="A41" s="129">
        <f>COUNTA(A40:A40)</f>
        <v>0</v>
      </c>
      <c r="B41" t="s" s="154">
        <v>180</v>
      </c>
      <c r="C41" s="155">
        <v>27291.08</v>
      </c>
      <c r="D41" s="154"/>
      <c r="E41" s="156"/>
      <c r="F41" s="157"/>
      <c r="G41" s="158"/>
      <c r="H41" s="158"/>
      <c r="I41" s="158"/>
      <c r="J41" s="158"/>
      <c r="K41" s="158"/>
      <c r="L41" s="158"/>
      <c r="M41" s="159"/>
      <c r="N41" s="158">
        <f>SUM(N40:N40)</f>
        <v>0</v>
      </c>
      <c r="O41" s="158">
        <f>SUM(O40:O40)</f>
        <v>0</v>
      </c>
      <c r="P41" s="158">
        <f>SUM(P40:P40)</f>
        <v>0</v>
      </c>
      <c r="Q41" s="160">
        <f>SUM(Q40:Q40)</f>
        <v>0</v>
      </c>
    </row>
    <row r="42" ht="14" customHeight="1">
      <c r="A42" s="135"/>
      <c r="B42" s="136"/>
      <c r="C42" s="137"/>
      <c r="D42" s="138"/>
      <c r="E42" s="139"/>
      <c r="F42" s="140"/>
      <c r="G42" s="141"/>
      <c r="H42" s="141"/>
      <c r="I42" s="141"/>
      <c r="J42" s="141"/>
      <c r="K42" s="141"/>
      <c r="L42" s="141"/>
      <c r="M42" s="137"/>
      <c r="N42" s="141"/>
      <c r="O42" s="141"/>
      <c r="P42" s="141"/>
      <c r="Q42" s="142"/>
    </row>
    <row r="43" ht="14" customHeight="1">
      <c r="A43" s="143"/>
      <c r="B43" s="144"/>
      <c r="C43" s="145"/>
      <c r="D43" s="146"/>
      <c r="E43" s="147"/>
      <c r="F43" s="148"/>
      <c r="G43" s="149"/>
      <c r="H43" s="149"/>
      <c r="I43" s="149"/>
      <c r="J43" s="149"/>
      <c r="K43" s="149"/>
      <c r="L43" s="149"/>
      <c r="M43" s="145"/>
      <c r="N43" s="149"/>
      <c r="O43" s="149"/>
      <c r="P43" s="149"/>
      <c r="Q43" s="150"/>
    </row>
    <row r="44" ht="14" customHeight="1">
      <c r="A44" s="151"/>
      <c r="B44" s="113"/>
      <c r="C44" s="114"/>
      <c r="D44" s="115"/>
      <c r="E44" t="b" s="152">
        <v>0</v>
      </c>
      <c r="F44" s="117"/>
      <c r="G44" s="118"/>
      <c r="H44" s="118"/>
      <c r="I44" s="118"/>
      <c r="J44" s="118"/>
      <c r="K44" s="118"/>
      <c r="L44" s="118"/>
      <c r="M44" t="b" s="130">
        <v>0</v>
      </c>
      <c r="N44" s="118">
        <f>IF(M44,G44,0)</f>
        <v>0</v>
      </c>
      <c r="O44" s="118">
        <f>IF(M44,0,G44)</f>
        <v>0</v>
      </c>
      <c r="P44" s="118">
        <f>IF(E44,G44)</f>
        <v>0</v>
      </c>
      <c r="Q44" s="153">
        <f>IF(E44,0,G44)</f>
        <v>0</v>
      </c>
    </row>
    <row r="45" ht="14" customHeight="1">
      <c r="A45" s="129">
        <f>COUNTA(A44:A44)</f>
        <v>0</v>
      </c>
      <c r="B45" t="s" s="154">
        <v>197</v>
      </c>
      <c r="C45" s="155">
        <v>27291.08</v>
      </c>
      <c r="D45" s="154"/>
      <c r="E45" s="156"/>
      <c r="F45" s="157"/>
      <c r="G45" s="158"/>
      <c r="H45" s="158"/>
      <c r="I45" s="158"/>
      <c r="J45" s="158"/>
      <c r="K45" s="158"/>
      <c r="L45" s="158"/>
      <c r="M45" s="159"/>
      <c r="N45" s="158">
        <f>SUM(N44:N44)</f>
        <v>0</v>
      </c>
      <c r="O45" s="158">
        <f>SUM(O44:O44)</f>
        <v>0</v>
      </c>
      <c r="P45" s="158">
        <f>SUM(P44:P44)</f>
        <v>0</v>
      </c>
      <c r="Q45" s="160">
        <f>SUM(Q44:Q44)</f>
        <v>0</v>
      </c>
    </row>
    <row r="46" ht="14" customHeight="1">
      <c r="A46" s="120"/>
      <c r="B46" s="121"/>
      <c r="C46" s="122"/>
      <c r="D46" s="123"/>
      <c r="E46" s="124"/>
      <c r="F46" s="125"/>
      <c r="G46" s="126"/>
      <c r="H46" s="126"/>
      <c r="I46" s="126"/>
      <c r="J46" s="126"/>
      <c r="K46" s="126"/>
      <c r="L46" s="126"/>
      <c r="M46" s="122"/>
      <c r="N46" s="126"/>
      <c r="O46" s="126"/>
      <c r="P46" s="126"/>
      <c r="Q46" s="127"/>
    </row>
    <row r="47" ht="14" customHeight="1">
      <c r="A47" s="81">
        <v>38</v>
      </c>
      <c r="B47" s="161">
        <v>43424</v>
      </c>
      <c r="C47" t="s" s="162">
        <v>56</v>
      </c>
      <c r="D47" t="s" s="162">
        <v>1032</v>
      </c>
      <c r="E47" t="b" s="163">
        <v>0</v>
      </c>
      <c r="F47" s="164"/>
      <c r="G47" s="165">
        <v>1966525</v>
      </c>
      <c r="H47" s="165">
        <f>G47*0.19</f>
        <v>373639.75</v>
      </c>
      <c r="I47" s="165">
        <f>G47*1.19</f>
        <v>2340164.75</v>
      </c>
      <c r="J47" s="165">
        <f>G47</f>
        <v>1966525</v>
      </c>
      <c r="K47" s="165">
        <f>G47-J47</f>
        <v>0</v>
      </c>
      <c r="L47" s="165">
        <f>K47/4</f>
        <v>0</v>
      </c>
      <c r="M47" t="b" s="166">
        <v>0</v>
      </c>
      <c r="N47" s="165">
        <f>IF(M47,G47,0)</f>
        <v>0</v>
      </c>
      <c r="O47" s="165">
        <f>IF(M47,0,G47)</f>
        <v>1966525</v>
      </c>
      <c r="P47" s="165">
        <f>IF(E47,G47)</f>
        <v>0</v>
      </c>
      <c r="Q47" s="167">
        <f>IF(E47,0,G47)</f>
        <v>1966525</v>
      </c>
    </row>
    <row r="48" ht="14" customHeight="1">
      <c r="A48" s="89">
        <v>39</v>
      </c>
      <c r="B48" s="97">
        <v>43424</v>
      </c>
      <c r="C48" t="s" s="98">
        <v>1033</v>
      </c>
      <c r="D48" t="s" s="98">
        <v>1034</v>
      </c>
      <c r="E48" t="b" s="99">
        <v>0</v>
      </c>
      <c r="F48" s="100"/>
      <c r="G48" s="101">
        <v>4963900</v>
      </c>
      <c r="H48" s="101">
        <f>G48*0.19</f>
        <v>943141</v>
      </c>
      <c r="I48" s="101">
        <f>G48*1.19</f>
        <v>5907041</v>
      </c>
      <c r="J48" s="101"/>
      <c r="K48" s="101">
        <f>G48-J48</f>
        <v>4963900</v>
      </c>
      <c r="L48" s="101">
        <f>K48/4</f>
        <v>1240975</v>
      </c>
      <c r="M48" t="b" s="102">
        <v>1</v>
      </c>
      <c r="N48" s="101">
        <f>IF(M48,G48,0)</f>
        <v>4963900</v>
      </c>
      <c r="O48" s="101">
        <f>IF(M48,0,G48)</f>
        <v>0</v>
      </c>
      <c r="P48" s="101">
        <f>IF(E48,G48)</f>
        <v>0</v>
      </c>
      <c r="Q48" s="103">
        <f>IF(E48,0,G48)</f>
        <v>4963900</v>
      </c>
    </row>
    <row r="49" ht="14" customHeight="1">
      <c r="A49" s="89">
        <v>40</v>
      </c>
      <c r="B49" s="90">
        <v>43426</v>
      </c>
      <c r="C49" t="s" s="91">
        <v>1035</v>
      </c>
      <c r="D49" t="s" s="91">
        <v>1036</v>
      </c>
      <c r="E49" t="b" s="92">
        <v>0</v>
      </c>
      <c r="F49" s="93"/>
      <c r="G49" s="94">
        <v>150000</v>
      </c>
      <c r="H49" s="94">
        <f>G49*0.19</f>
        <v>28500</v>
      </c>
      <c r="I49" s="94">
        <f>G49*1.19</f>
        <v>178500</v>
      </c>
      <c r="J49" s="94"/>
      <c r="K49" s="94">
        <f>G49-J49</f>
        <v>150000</v>
      </c>
      <c r="L49" s="94">
        <f>K49/4</f>
        <v>37500</v>
      </c>
      <c r="M49" t="b" s="95">
        <v>0</v>
      </c>
      <c r="N49" s="94">
        <f>IF(M49,G49,0)</f>
        <v>0</v>
      </c>
      <c r="O49" s="94">
        <f>IF(M49,0,G49)</f>
        <v>150000</v>
      </c>
      <c r="P49" s="94">
        <f>IF(E49,G49)</f>
        <v>0</v>
      </c>
      <c r="Q49" s="96">
        <f>IF(E49,0,G49)</f>
        <v>150000</v>
      </c>
    </row>
    <row r="50" ht="14" customHeight="1">
      <c r="A50" s="89">
        <v>41</v>
      </c>
      <c r="B50" s="97">
        <v>43430</v>
      </c>
      <c r="C50" t="s" s="98">
        <v>22</v>
      </c>
      <c r="D50" t="s" s="98">
        <v>1037</v>
      </c>
      <c r="E50" t="b" s="99">
        <v>0</v>
      </c>
      <c r="F50" s="100"/>
      <c r="G50" s="101">
        <v>60000</v>
      </c>
      <c r="H50" s="101">
        <f>G50*0.19</f>
        <v>11400</v>
      </c>
      <c r="I50" s="101">
        <f>G50*1.19</f>
        <v>71400</v>
      </c>
      <c r="J50" s="101"/>
      <c r="K50" s="101">
        <f>G50-J50</f>
        <v>60000</v>
      </c>
      <c r="L50" s="101">
        <f>K50/4</f>
        <v>15000</v>
      </c>
      <c r="M50" t="b" s="102">
        <v>0</v>
      </c>
      <c r="N50" s="101">
        <f>IF(M50,G50,0)</f>
        <v>0</v>
      </c>
      <c r="O50" s="101">
        <f>IF(M50,0,G50)</f>
        <v>60000</v>
      </c>
      <c r="P50" s="101">
        <f>IF(E50,G50)</f>
        <v>0</v>
      </c>
      <c r="Q50" s="103">
        <f>IF(E50,0,G50)</f>
        <v>60000</v>
      </c>
    </row>
    <row r="51" ht="14" customHeight="1">
      <c r="A51" s="89">
        <v>42</v>
      </c>
      <c r="B51" s="90">
        <v>43430</v>
      </c>
      <c r="C51" t="s" s="91">
        <v>1027</v>
      </c>
      <c r="D51" t="s" s="91">
        <v>1038</v>
      </c>
      <c r="E51" t="b" s="92">
        <v>1</v>
      </c>
      <c r="F51" s="93">
        <v>1.35</v>
      </c>
      <c r="G51" s="94">
        <f>C66*F51</f>
        <v>37036.926</v>
      </c>
      <c r="H51" s="94">
        <f>G51*0.19</f>
        <v>7037.01594</v>
      </c>
      <c r="I51" s="94">
        <f>G51*1.19</f>
        <v>44073.94194</v>
      </c>
      <c r="J51" s="94"/>
      <c r="K51" s="94">
        <f>G51-J51</f>
        <v>37036.926</v>
      </c>
      <c r="L51" s="94">
        <f>K51/4</f>
        <v>9259.2315</v>
      </c>
      <c r="M51" t="b" s="95">
        <v>0</v>
      </c>
      <c r="N51" s="94">
        <f>IF(M51,G51,0)</f>
        <v>0</v>
      </c>
      <c r="O51" s="94">
        <f>IF(M51,0,G51)</f>
        <v>37036.926</v>
      </c>
      <c r="P51" s="94">
        <f>IF(E51,G51)</f>
        <v>37036.926</v>
      </c>
      <c r="Q51" s="96">
        <f>IF(E51,0,G51)</f>
        <v>0</v>
      </c>
    </row>
    <row r="52" ht="14" customHeight="1">
      <c r="A52" s="89">
        <v>43</v>
      </c>
      <c r="B52" t="s" s="168">
        <v>572</v>
      </c>
      <c r="C52" s="169"/>
      <c r="D52" s="98"/>
      <c r="E52" t="b" s="99">
        <v>0</v>
      </c>
      <c r="F52" s="100"/>
      <c r="G52" s="101">
        <f>C$37*F52</f>
        <v>0</v>
      </c>
      <c r="H52" s="101">
        <f>G52*0.19</f>
        <v>0</v>
      </c>
      <c r="I52" s="101">
        <f>G52*1.19</f>
        <v>0</v>
      </c>
      <c r="J52" s="101"/>
      <c r="K52" s="101">
        <f>G52-J52</f>
        <v>0</v>
      </c>
      <c r="L52" s="101">
        <f>K52/4</f>
        <v>0</v>
      </c>
      <c r="M52" t="b" s="102">
        <v>0</v>
      </c>
      <c r="N52" s="101">
        <f>IF(M52,G52,0)</f>
        <v>0</v>
      </c>
      <c r="O52" s="101">
        <f>IF(M52,0,G52)</f>
        <v>0</v>
      </c>
      <c r="P52" s="101">
        <f>IF(E52,G52)</f>
        <v>0</v>
      </c>
      <c r="Q52" s="103">
        <f>IF(E52,0,G52)</f>
        <v>0</v>
      </c>
    </row>
    <row r="53" ht="14" customHeight="1">
      <c r="A53" s="89">
        <v>44</v>
      </c>
      <c r="B53" s="90">
        <v>43430</v>
      </c>
      <c r="C53" t="s" s="91">
        <v>1011</v>
      </c>
      <c r="D53" t="s" s="91">
        <v>1038</v>
      </c>
      <c r="E53" t="b" s="92">
        <v>1</v>
      </c>
      <c r="F53" s="93">
        <v>1.37</v>
      </c>
      <c r="G53" s="94">
        <f>C$66*F53</f>
        <v>37585.6212</v>
      </c>
      <c r="H53" s="94">
        <f>G53*0.19</f>
        <v>7141.268028</v>
      </c>
      <c r="I53" s="94">
        <f>G53*1.19</f>
        <v>44726.889228</v>
      </c>
      <c r="J53" s="94"/>
      <c r="K53" s="94">
        <f>G53-J53</f>
        <v>37585.6212</v>
      </c>
      <c r="L53" s="94">
        <f>K53/4</f>
        <v>9396.4053</v>
      </c>
      <c r="M53" t="b" s="95">
        <v>0</v>
      </c>
      <c r="N53" s="94">
        <f>IF(M53,G53,0)</f>
        <v>0</v>
      </c>
      <c r="O53" s="94">
        <f>IF(M53,0,G53)</f>
        <v>37585.6212</v>
      </c>
      <c r="P53" s="94">
        <f>IF(E53,G53)</f>
        <v>37585.6212</v>
      </c>
      <c r="Q53" s="96">
        <f>IF(E53,0,G53)</f>
        <v>0</v>
      </c>
    </row>
    <row r="54" ht="14" customHeight="1">
      <c r="A54" s="89">
        <v>45</v>
      </c>
      <c r="B54" s="97">
        <v>43430</v>
      </c>
      <c r="C54" t="s" s="98">
        <v>22</v>
      </c>
      <c r="D54" t="s" s="98">
        <v>1039</v>
      </c>
      <c r="E54" t="b" s="99">
        <v>1</v>
      </c>
      <c r="F54" s="100"/>
      <c r="G54" s="101">
        <v>760648</v>
      </c>
      <c r="H54" s="101">
        <f>G54*0.19</f>
        <v>144523.12</v>
      </c>
      <c r="I54" s="101">
        <f>G54*1.19</f>
        <v>905171.12</v>
      </c>
      <c r="J54" s="101"/>
      <c r="K54" s="101">
        <f>G54-J54</f>
        <v>760648</v>
      </c>
      <c r="L54" s="101">
        <f>K54/4</f>
        <v>190162</v>
      </c>
      <c r="M54" t="b" s="102">
        <v>0</v>
      </c>
      <c r="N54" s="101">
        <f>IF(M54,G54,0)</f>
        <v>0</v>
      </c>
      <c r="O54" s="101">
        <f>IF(M54,0,G54)</f>
        <v>760648</v>
      </c>
      <c r="P54" s="101">
        <f>IF(E54,G54)</f>
        <v>760648</v>
      </c>
      <c r="Q54" s="103">
        <f>IF(E54,0,G54)</f>
        <v>0</v>
      </c>
    </row>
    <row r="55" ht="14" customHeight="1">
      <c r="A55" s="89">
        <v>46</v>
      </c>
      <c r="B55" s="90">
        <v>43434</v>
      </c>
      <c r="C55" t="s" s="91">
        <v>1040</v>
      </c>
      <c r="D55" t="s" s="91">
        <v>1041</v>
      </c>
      <c r="E55" t="b" s="92">
        <v>0</v>
      </c>
      <c r="F55" s="93"/>
      <c r="G55" s="94">
        <v>565000</v>
      </c>
      <c r="H55" s="94">
        <f>G55*0.19</f>
        <v>107350</v>
      </c>
      <c r="I55" s="94">
        <f>G55*1.19</f>
        <v>672350</v>
      </c>
      <c r="J55" s="94"/>
      <c r="K55" s="94">
        <f>G55-J55</f>
        <v>565000</v>
      </c>
      <c r="L55" s="94">
        <f>K55/4</f>
        <v>141250</v>
      </c>
      <c r="M55" t="b" s="95">
        <v>0</v>
      </c>
      <c r="N55" s="94">
        <f>IF(M55,G55,0)</f>
        <v>0</v>
      </c>
      <c r="O55" s="94">
        <f>IF(M55,0,G55)</f>
        <v>565000</v>
      </c>
      <c r="P55" s="94">
        <f>IF(E55,G55)</f>
        <v>0</v>
      </c>
      <c r="Q55" s="96">
        <f>IF(E55,0,G55)</f>
        <v>565000</v>
      </c>
    </row>
    <row r="56" ht="14" customHeight="1">
      <c r="A56" s="89">
        <v>47</v>
      </c>
      <c r="B56" s="97">
        <v>43434</v>
      </c>
      <c r="C56" t="s" s="98">
        <v>22</v>
      </c>
      <c r="D56" t="s" s="98">
        <v>1042</v>
      </c>
      <c r="E56" t="b" s="99">
        <v>1</v>
      </c>
      <c r="F56" s="100"/>
      <c r="G56" s="101">
        <v>185791</v>
      </c>
      <c r="H56" s="101">
        <f>G56*0.19</f>
        <v>35300.29</v>
      </c>
      <c r="I56" s="101">
        <f>G56*1.19</f>
        <v>221091.29</v>
      </c>
      <c r="J56" s="101"/>
      <c r="K56" s="101">
        <f>G56-J56</f>
        <v>185791</v>
      </c>
      <c r="L56" s="101">
        <f>K56/4</f>
        <v>46447.75</v>
      </c>
      <c r="M56" t="b" s="102">
        <v>0</v>
      </c>
      <c r="N56" s="101">
        <f>IF(M56,G56,0)</f>
        <v>0</v>
      </c>
      <c r="O56" s="101">
        <f>IF(M56,0,G56)</f>
        <v>185791</v>
      </c>
      <c r="P56" s="101">
        <f>IF(E56,G56)</f>
        <v>185791</v>
      </c>
      <c r="Q56" s="103">
        <f>IF(E56,0,G56)</f>
        <v>0</v>
      </c>
    </row>
    <row r="57" ht="14" customHeight="1">
      <c r="A57" s="89">
        <v>48</v>
      </c>
      <c r="B57" s="90">
        <v>43432</v>
      </c>
      <c r="C57" t="s" s="91">
        <v>1014</v>
      </c>
      <c r="D57" t="s" s="91">
        <v>1043</v>
      </c>
      <c r="E57" t="b" s="92">
        <v>1</v>
      </c>
      <c r="F57" s="93"/>
      <c r="G57" s="94">
        <v>859634</v>
      </c>
      <c r="H57" s="94">
        <f>G57*0.19</f>
        <v>163330.46</v>
      </c>
      <c r="I57" s="94">
        <f>G57*1.19</f>
        <v>1022964.46</v>
      </c>
      <c r="J57" s="94">
        <f>G57-172839</f>
        <v>686795</v>
      </c>
      <c r="K57" s="94">
        <f>G57-J57</f>
        <v>172839</v>
      </c>
      <c r="L57" s="94">
        <f>K57/4</f>
        <v>43209.75</v>
      </c>
      <c r="M57" t="b" s="95">
        <v>0</v>
      </c>
      <c r="N57" s="94">
        <f>IF(M57,G57,0)</f>
        <v>0</v>
      </c>
      <c r="O57" s="94">
        <f>IF(M57,0,G57)</f>
        <v>859634</v>
      </c>
      <c r="P57" s="94">
        <f>IF(E57,G57)</f>
        <v>859634</v>
      </c>
      <c r="Q57" s="96">
        <f>IF(E57,0,G57)</f>
        <v>0</v>
      </c>
    </row>
    <row r="58" ht="14" customHeight="1">
      <c r="A58" s="89">
        <v>49</v>
      </c>
      <c r="B58" s="97">
        <v>43432</v>
      </c>
      <c r="C58" t="s" s="98">
        <v>1013</v>
      </c>
      <c r="D58" t="s" s="98">
        <v>1038</v>
      </c>
      <c r="E58" t="b" s="99">
        <v>1</v>
      </c>
      <c r="F58" s="100">
        <v>4</v>
      </c>
      <c r="G58" s="101">
        <f>C$66*F58</f>
        <v>109739.04</v>
      </c>
      <c r="H58" s="101">
        <f>G58*0.19</f>
        <v>20850.4176</v>
      </c>
      <c r="I58" s="101">
        <f>G58*1.19</f>
        <v>130589.4576</v>
      </c>
      <c r="J58" s="101"/>
      <c r="K58" s="101">
        <f>G58-J58</f>
        <v>109739.04</v>
      </c>
      <c r="L58" s="101">
        <f>K58/4</f>
        <v>27434.76</v>
      </c>
      <c r="M58" t="b" s="102">
        <v>0</v>
      </c>
      <c r="N58" s="101">
        <f>IF(M58,G58,0)</f>
        <v>0</v>
      </c>
      <c r="O58" s="101">
        <f>IF(M58,0,G58)</f>
        <v>109739.04</v>
      </c>
      <c r="P58" s="101">
        <f>IF(E58,G58)</f>
        <v>109739.04</v>
      </c>
      <c r="Q58" s="103">
        <f>IF(E58,0,G58)</f>
        <v>0</v>
      </c>
    </row>
    <row r="59" ht="14" customHeight="1">
      <c r="A59" s="89">
        <v>50</v>
      </c>
      <c r="B59" s="90">
        <v>43432</v>
      </c>
      <c r="C59" t="s" s="91">
        <v>66</v>
      </c>
      <c r="D59" t="s" s="91">
        <v>1044</v>
      </c>
      <c r="E59" t="b" s="92">
        <v>1</v>
      </c>
      <c r="F59" s="93">
        <v>4.88</v>
      </c>
      <c r="G59" s="94">
        <v>533327</v>
      </c>
      <c r="H59" s="94">
        <f>G59*0.19</f>
        <v>101332.13</v>
      </c>
      <c r="I59" s="94">
        <f>G59*1.19</f>
        <v>634659.13</v>
      </c>
      <c r="J59" s="94"/>
      <c r="K59" s="94">
        <f>G59-J59</f>
        <v>533327</v>
      </c>
      <c r="L59" s="94">
        <f>K59/4</f>
        <v>133331.75</v>
      </c>
      <c r="M59" t="b" s="95">
        <v>0</v>
      </c>
      <c r="N59" s="94">
        <f>IF(M59,G59,0)</f>
        <v>0</v>
      </c>
      <c r="O59" s="94">
        <f>IF(M59,0,G59)</f>
        <v>533327</v>
      </c>
      <c r="P59" s="94">
        <f>IF(E59,G59)</f>
        <v>533327</v>
      </c>
      <c r="Q59" s="96">
        <f>IF(E59,0,G59)</f>
        <v>0</v>
      </c>
    </row>
    <row r="60" ht="14" customHeight="1">
      <c r="A60" s="170"/>
      <c r="B60" s="97"/>
      <c r="C60" t="s" s="98">
        <v>1045</v>
      </c>
      <c r="D60" t="s" s="98">
        <v>1046</v>
      </c>
      <c r="E60" t="b" s="99">
        <v>0</v>
      </c>
      <c r="F60" s="100"/>
      <c r="G60" s="101">
        <f>C$66*F60</f>
        <v>0</v>
      </c>
      <c r="H60" s="101">
        <f>G60*0.19</f>
        <v>0</v>
      </c>
      <c r="I60" s="101">
        <f>G60*1.19</f>
        <v>0</v>
      </c>
      <c r="J60" s="101"/>
      <c r="K60" s="101">
        <f>G60-J60</f>
        <v>0</v>
      </c>
      <c r="L60" s="101">
        <f>K60/4</f>
        <v>0</v>
      </c>
      <c r="M60" t="b" s="102">
        <v>0</v>
      </c>
      <c r="N60" s="101">
        <f>IF(M60,G60,0)</f>
        <v>0</v>
      </c>
      <c r="O60" s="101">
        <f>IF(M60,0,G60)</f>
        <v>0</v>
      </c>
      <c r="P60" s="101">
        <f>IF(E60,G60)</f>
        <v>0</v>
      </c>
      <c r="Q60" s="103">
        <f>IF(E60,0,G60)</f>
        <v>0</v>
      </c>
    </row>
    <row r="61" ht="14" customHeight="1">
      <c r="A61" s="170"/>
      <c r="B61" s="90"/>
      <c r="C61" s="171"/>
      <c r="D61" s="91"/>
      <c r="E61" t="b" s="92">
        <v>0</v>
      </c>
      <c r="F61" s="93"/>
      <c r="G61" s="94">
        <f>C$66*F61</f>
        <v>0</v>
      </c>
      <c r="H61" s="94">
        <f>G61*0.19</f>
        <v>0</v>
      </c>
      <c r="I61" s="94">
        <f>G61*1.19</f>
        <v>0</v>
      </c>
      <c r="J61" s="94"/>
      <c r="K61" s="94">
        <f>G61-J61</f>
        <v>0</v>
      </c>
      <c r="L61" s="94">
        <f>K61/4</f>
        <v>0</v>
      </c>
      <c r="M61" t="b" s="95">
        <v>0</v>
      </c>
      <c r="N61" s="94">
        <f>IF(M61,G61,0)</f>
        <v>0</v>
      </c>
      <c r="O61" s="94">
        <f>IF(M61,0,G61)</f>
        <v>0</v>
      </c>
      <c r="P61" s="94">
        <f>IF(E61,G61)</f>
        <v>0</v>
      </c>
      <c r="Q61" s="96">
        <f>IF(E61,0,G61)</f>
        <v>0</v>
      </c>
    </row>
    <row r="62" ht="14" customHeight="1">
      <c r="A62" s="170"/>
      <c r="B62" s="97"/>
      <c r="C62" s="169"/>
      <c r="D62" s="98"/>
      <c r="E62" t="b" s="99">
        <v>0</v>
      </c>
      <c r="F62" s="100"/>
      <c r="G62" s="101">
        <f>C$66*F62</f>
        <v>0</v>
      </c>
      <c r="H62" s="101">
        <f>G62*0.19</f>
        <v>0</v>
      </c>
      <c r="I62" s="101">
        <f>G62*1.19</f>
        <v>0</v>
      </c>
      <c r="J62" s="101"/>
      <c r="K62" s="101">
        <f>G62-J62</f>
        <v>0</v>
      </c>
      <c r="L62" s="101">
        <f>K62/4</f>
        <v>0</v>
      </c>
      <c r="M62" t="b" s="102">
        <v>0</v>
      </c>
      <c r="N62" s="101">
        <f>IF(M62,G62,0)</f>
        <v>0</v>
      </c>
      <c r="O62" s="101">
        <f>IF(M62,0,G62)</f>
        <v>0</v>
      </c>
      <c r="P62" s="101">
        <f>IF(E62,G62)</f>
        <v>0</v>
      </c>
      <c r="Q62" s="103">
        <f>IF(E62,0,G62)</f>
        <v>0</v>
      </c>
    </row>
    <row r="63" ht="14" customHeight="1">
      <c r="A63" s="170"/>
      <c r="B63" s="90"/>
      <c r="C63" s="171"/>
      <c r="D63" s="91"/>
      <c r="E63" t="b" s="92">
        <v>0</v>
      </c>
      <c r="F63" s="93"/>
      <c r="G63" s="94">
        <f>C$66*F63</f>
        <v>0</v>
      </c>
      <c r="H63" s="94">
        <f>G63*0.19</f>
        <v>0</v>
      </c>
      <c r="I63" s="94">
        <f>G63*1.19</f>
        <v>0</v>
      </c>
      <c r="J63" s="94"/>
      <c r="K63" s="94">
        <f>G63-J63</f>
        <v>0</v>
      </c>
      <c r="L63" s="94">
        <f>K63/4</f>
        <v>0</v>
      </c>
      <c r="M63" t="b" s="95">
        <v>0</v>
      </c>
      <c r="N63" s="94">
        <f>IF(M63,G63,0)</f>
        <v>0</v>
      </c>
      <c r="O63" s="94">
        <f>IF(M63,0,G63)</f>
        <v>0</v>
      </c>
      <c r="P63" s="94">
        <f>IF(E63,G63)</f>
        <v>0</v>
      </c>
      <c r="Q63" s="96">
        <f>IF(E63,0,G63)</f>
        <v>0</v>
      </c>
    </row>
    <row r="64" ht="14" customHeight="1">
      <c r="A64" s="170"/>
      <c r="B64" s="97"/>
      <c r="C64" s="169"/>
      <c r="D64" s="98"/>
      <c r="E64" t="b" s="99">
        <v>0</v>
      </c>
      <c r="F64" s="100"/>
      <c r="G64" s="101">
        <f>C$66*F64</f>
        <v>0</v>
      </c>
      <c r="H64" s="101">
        <f>G64*0.19</f>
        <v>0</v>
      </c>
      <c r="I64" s="101">
        <f>G64*1.19</f>
        <v>0</v>
      </c>
      <c r="J64" s="101"/>
      <c r="K64" s="101">
        <f>G64-J64</f>
        <v>0</v>
      </c>
      <c r="L64" s="101">
        <f>K64/4</f>
        <v>0</v>
      </c>
      <c r="M64" t="b" s="102">
        <v>0</v>
      </c>
      <c r="N64" s="101">
        <f>IF(M64,G64,0)</f>
        <v>0</v>
      </c>
      <c r="O64" s="101">
        <f>IF(M64,0,G64)</f>
        <v>0</v>
      </c>
      <c r="P64" s="101">
        <f>IF(E64,G64)</f>
        <v>0</v>
      </c>
      <c r="Q64" s="103">
        <f>IF(E64,0,G64)</f>
        <v>0</v>
      </c>
    </row>
    <row r="65" ht="14" customHeight="1">
      <c r="A65" s="172"/>
      <c r="B65" s="105"/>
      <c r="C65" s="133"/>
      <c r="D65" s="106"/>
      <c r="E65" t="b" s="107">
        <v>0</v>
      </c>
      <c r="F65" s="108">
        <v>0</v>
      </c>
      <c r="G65" s="109">
        <f>C$66*F65</f>
        <v>0</v>
      </c>
      <c r="H65" s="109">
        <f>G65*0.19</f>
        <v>0</v>
      </c>
      <c r="I65" s="109">
        <f>G65*1.19</f>
        <v>0</v>
      </c>
      <c r="J65" s="109"/>
      <c r="K65" s="109">
        <f>G65-J65</f>
        <v>0</v>
      </c>
      <c r="L65" s="109">
        <f>K65/4</f>
        <v>0</v>
      </c>
      <c r="M65" t="b" s="110">
        <v>0</v>
      </c>
      <c r="N65" s="109">
        <f>IF(M65,G65,0)</f>
        <v>0</v>
      </c>
      <c r="O65" s="109">
        <f>IF(M65,0,G65)</f>
        <v>0</v>
      </c>
      <c r="P65" s="109">
        <f>IF(E65,G65)</f>
        <v>0</v>
      </c>
      <c r="Q65" s="111">
        <f>IF(E65,0,G65)</f>
        <v>0</v>
      </c>
    </row>
    <row r="66" ht="14" customHeight="1">
      <c r="A66" s="129">
        <f>COUNTA(A47:A65)</f>
        <v>13</v>
      </c>
      <c r="B66" t="s" s="115">
        <v>211</v>
      </c>
      <c r="C66" s="130">
        <v>27434.76</v>
      </c>
      <c r="D66" s="115"/>
      <c r="E66" s="116"/>
      <c r="F66" s="117"/>
      <c r="G66" s="118">
        <f>SUM(G47:G65)</f>
        <v>10229186.5872</v>
      </c>
      <c r="H66" s="118">
        <f>G66*0.19</f>
        <v>1943545.451568</v>
      </c>
      <c r="I66" s="118">
        <f>G66*1.19</f>
        <v>12172732.038768</v>
      </c>
      <c r="J66" s="118">
        <f>SUM(J47:J65)</f>
        <v>2653320</v>
      </c>
      <c r="K66" s="118">
        <f>SUM(K47:K65)</f>
        <v>7575866.5872</v>
      </c>
      <c r="L66" s="118">
        <f>SUM(L47:L65)</f>
        <v>1893966.6468</v>
      </c>
      <c r="M66" s="114"/>
      <c r="N66" s="118">
        <f>SUM(N47:N65)</f>
        <v>4963900</v>
      </c>
      <c r="O66" s="118">
        <f>SUM(O47:O65)</f>
        <v>5265286.5872</v>
      </c>
      <c r="P66" s="118">
        <f>SUM(P47:P65)</f>
        <v>2523761.5872</v>
      </c>
      <c r="Q66" s="119">
        <f>SUM(Q47:Q65)</f>
        <v>7705425</v>
      </c>
    </row>
  </sheetData>
  <mergeCells count="1">
    <mergeCell ref="M1:N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2:X234"/>
  <sheetViews>
    <sheetView workbookViewId="0" showGridLines="0" defaultGridColor="1">
      <pane topLeftCell="B3" xSplit="1" ySplit="2" activePane="bottomRight" state="frozen"/>
    </sheetView>
  </sheetViews>
  <sheetFormatPr defaultColWidth="10.8333" defaultRowHeight="12.2" customHeight="1" outlineLevelRow="0" outlineLevelCol="0"/>
  <cols>
    <col min="1" max="1" width="5.85156" style="173" customWidth="1"/>
    <col min="2" max="2" width="13.6719" style="173" customWidth="1"/>
    <col min="3" max="3" width="21.5" style="173" customWidth="1"/>
    <col min="4" max="4" width="7.17188" style="173" customWidth="1"/>
    <col min="5" max="6" width="8.72656" style="173" customWidth="1"/>
    <col min="7" max="7" width="8.85156" style="173" customWidth="1"/>
    <col min="8" max="9" width="8.72656" style="173" customWidth="1"/>
    <col min="10" max="10" width="4.64062" style="173" customWidth="1"/>
    <col min="11" max="11" width="8.72656" style="173" customWidth="1"/>
    <col min="12" max="12" width="5.85156" style="195" customWidth="1"/>
    <col min="13" max="13" width="13.6719" style="195" customWidth="1"/>
    <col min="14" max="14" width="22.7969" style="195" customWidth="1"/>
    <col min="15" max="15" width="7.17188" style="195" customWidth="1"/>
    <col min="16" max="19" width="8.72656" style="195" customWidth="1"/>
    <col min="20" max="20" width="8.85156" style="195" customWidth="1"/>
    <col min="21" max="22" width="8.72656" style="195" customWidth="1"/>
    <col min="23" max="23" width="4.64062" style="195" customWidth="1"/>
    <col min="24" max="24" width="8.72656" style="195" customWidth="1"/>
    <col min="25" max="256" width="10.8516" style="195" customWidth="1"/>
  </cols>
  <sheetData>
    <row r="1" ht="25" customHeight="1">
      <c r="A1" t="s" s="174">
        <v>1047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ht="13.5" customHeight="1">
      <c r="A2" t="s" s="78">
        <v>1</v>
      </c>
      <c r="B2" t="s" s="78">
        <v>3</v>
      </c>
      <c r="C2" t="s" s="78">
        <v>4</v>
      </c>
      <c r="D2" t="s" s="78">
        <v>8</v>
      </c>
      <c r="E2" t="s" s="78">
        <v>5</v>
      </c>
      <c r="F2" t="s" s="78">
        <v>1003</v>
      </c>
      <c r="G2" t="s" s="78">
        <v>1048</v>
      </c>
      <c r="H2" t="s" s="78">
        <v>1008</v>
      </c>
      <c r="I2" t="s" s="78">
        <v>1009</v>
      </c>
      <c r="J2" t="s" s="78">
        <v>1006</v>
      </c>
      <c r="K2" s="79"/>
    </row>
    <row r="3" ht="14" customHeight="1">
      <c r="A3" s="81">
        <v>9</v>
      </c>
      <c r="B3" t="s" s="175">
        <v>66</v>
      </c>
      <c r="C3" t="s" s="83">
        <v>8</v>
      </c>
      <c r="D3" t="b" s="84">
        <v>1</v>
      </c>
      <c r="E3" s="86">
        <v>129778</v>
      </c>
      <c r="F3" s="86">
        <f>E3</f>
        <v>129778</v>
      </c>
      <c r="G3" s="86"/>
      <c r="H3" s="86">
        <f>IF(D3,E3)</f>
        <v>129778</v>
      </c>
      <c r="I3" s="86">
        <f>IF(D3,0,E3)</f>
        <v>0</v>
      </c>
      <c r="J3" t="b" s="87">
        <v>1</v>
      </c>
      <c r="K3" s="88">
        <f>IF(J3,E3,0)</f>
        <v>129778</v>
      </c>
    </row>
    <row r="4" ht="14" customHeight="1">
      <c r="A4" s="176">
        <v>27</v>
      </c>
      <c r="B4" t="s" s="91">
        <v>1025</v>
      </c>
      <c r="C4" t="s" s="91">
        <v>8</v>
      </c>
      <c r="D4" t="b" s="92">
        <v>1</v>
      </c>
      <c r="E4" s="94">
        <f t="shared" si="4" ref="E4:E26">73119/2</f>
        <v>36559.5</v>
      </c>
      <c r="F4" s="94">
        <f>E4</f>
        <v>36559.5</v>
      </c>
      <c r="G4" s="94"/>
      <c r="H4" s="94">
        <f>IF(D4,E4)</f>
        <v>36559.5</v>
      </c>
      <c r="I4" s="94">
        <f>IF(D4,0,E4)</f>
        <v>0</v>
      </c>
      <c r="J4" t="b" s="95">
        <v>0</v>
      </c>
      <c r="K4" s="96">
        <f>IF(J4,E4,0)</f>
        <v>0</v>
      </c>
    </row>
    <row r="5" ht="14" customHeight="1">
      <c r="A5" s="177">
        <v>30</v>
      </c>
      <c r="B5" t="s" s="178">
        <v>1027</v>
      </c>
      <c r="C5" t="s" s="178">
        <v>8</v>
      </c>
      <c r="D5" t="b" s="179">
        <v>1</v>
      </c>
      <c r="E5" s="180">
        <f t="shared" si="4"/>
        <v>36559.5</v>
      </c>
      <c r="F5" s="180">
        <f>E5</f>
        <v>36559.5</v>
      </c>
      <c r="G5" s="180"/>
      <c r="H5" s="180">
        <f>IF(D5,E5)</f>
        <v>36559.5</v>
      </c>
      <c r="I5" s="180">
        <f>IF(D5,0,E5)</f>
        <v>0</v>
      </c>
      <c r="J5" t="b" s="181">
        <v>0</v>
      </c>
      <c r="K5" s="182">
        <f>IF(J5,E5,0)</f>
        <v>0</v>
      </c>
    </row>
    <row r="6" ht="14" customHeight="1">
      <c r="A6" s="112">
        <f>COUNTA($A3:$A5)</f>
        <v>3</v>
      </c>
      <c r="B6" t="s" s="183">
        <v>197</v>
      </c>
      <c r="C6" s="154"/>
      <c r="D6" s="156"/>
      <c r="E6" s="158">
        <f>SUM(E2:E5)</f>
        <v>202897</v>
      </c>
      <c r="F6" s="158">
        <f>SUM(F2:F5)</f>
        <v>202897</v>
      </c>
      <c r="G6" s="158">
        <f>SUM(G2:G5)</f>
        <v>0</v>
      </c>
      <c r="H6" s="158">
        <f>SUM(H3:H5)</f>
        <v>202897</v>
      </c>
      <c r="I6" s="158">
        <f>SUM(I3:I5)</f>
        <v>0</v>
      </c>
      <c r="J6" s="158"/>
      <c r="K6" s="184">
        <f>SUM(K3:K5)</f>
        <v>129778</v>
      </c>
    </row>
    <row r="7" ht="14" customHeight="1">
      <c r="A7" s="120"/>
      <c r="B7" s="122"/>
      <c r="C7" s="123"/>
      <c r="D7" s="124"/>
      <c r="E7" s="126"/>
      <c r="F7" s="126"/>
      <c r="G7" s="126"/>
      <c r="H7" s="126"/>
      <c r="I7" s="126"/>
      <c r="J7" s="122"/>
      <c r="K7" s="127"/>
    </row>
    <row r="8" ht="14" customHeight="1">
      <c r="A8" s="185">
        <v>2</v>
      </c>
      <c r="B8" t="s" s="162">
        <v>632</v>
      </c>
      <c r="C8" t="s" s="162">
        <v>1010</v>
      </c>
      <c r="D8" t="b" s="163">
        <v>1</v>
      </c>
      <c r="E8" s="165">
        <v>112500</v>
      </c>
      <c r="F8" s="165">
        <f>E8</f>
        <v>112500</v>
      </c>
      <c r="G8" s="165"/>
      <c r="H8" s="165">
        <f>IF(D8,E8)</f>
        <v>112500</v>
      </c>
      <c r="I8" s="165">
        <f>IF(D8,0,E8)</f>
        <v>0</v>
      </c>
      <c r="J8" t="b" s="166">
        <v>1</v>
      </c>
      <c r="K8" s="167">
        <f>IF(J8,E8,0)</f>
        <v>112500</v>
      </c>
    </row>
    <row r="9" ht="14" customHeight="1">
      <c r="A9" s="176">
        <v>9</v>
      </c>
      <c r="B9" t="s" s="98">
        <v>66</v>
      </c>
      <c r="C9" t="s" s="98">
        <v>8</v>
      </c>
      <c r="D9" t="b" s="99">
        <v>1</v>
      </c>
      <c r="E9" s="101">
        <v>129836</v>
      </c>
      <c r="F9" s="101">
        <f>E9</f>
        <v>129836</v>
      </c>
      <c r="G9" s="101"/>
      <c r="H9" s="101">
        <f>IF(D9,E9)</f>
        <v>129836</v>
      </c>
      <c r="I9" s="101">
        <f>IF(D9,0,E9)</f>
        <v>0</v>
      </c>
      <c r="J9" t="b" s="102">
        <v>1</v>
      </c>
      <c r="K9" s="103">
        <f>IF(J9,E9,0)</f>
        <v>129836</v>
      </c>
    </row>
    <row r="10" ht="14" customHeight="1">
      <c r="A10" s="176">
        <v>4</v>
      </c>
      <c r="B10" t="s" s="91">
        <v>1013</v>
      </c>
      <c r="C10" t="s" s="91">
        <v>8</v>
      </c>
      <c r="D10" t="b" s="92">
        <v>1</v>
      </c>
      <c r="E10" s="94">
        <v>106903</v>
      </c>
      <c r="F10" s="94">
        <f>E10</f>
        <v>106903</v>
      </c>
      <c r="G10" s="94"/>
      <c r="H10" s="94">
        <f>IF(D10,E10)</f>
        <v>106903</v>
      </c>
      <c r="I10" s="94">
        <f>IF(D10,0,E10)</f>
        <v>0</v>
      </c>
      <c r="J10" t="b" s="95">
        <v>1</v>
      </c>
      <c r="K10" s="96">
        <f>IF(J10,E10,0)</f>
        <v>106903</v>
      </c>
    </row>
    <row r="11" ht="14" customHeight="1">
      <c r="A11" s="176">
        <v>3</v>
      </c>
      <c r="B11" t="s" s="98">
        <v>1011</v>
      </c>
      <c r="C11" t="s" s="98">
        <v>1012</v>
      </c>
      <c r="D11" t="b" s="99">
        <v>0</v>
      </c>
      <c r="E11" s="101">
        <v>60000</v>
      </c>
      <c r="F11" s="101">
        <f>E11</f>
        <v>60000</v>
      </c>
      <c r="G11" s="101"/>
      <c r="H11" s="101">
        <f>IF(D11,E11)</f>
        <v>0</v>
      </c>
      <c r="I11" s="101">
        <f>IF(D11,0,E11)</f>
        <v>60000</v>
      </c>
      <c r="J11" t="b" s="102">
        <v>1</v>
      </c>
      <c r="K11" s="103">
        <f>IF(J11,E11,0)</f>
        <v>60000</v>
      </c>
    </row>
    <row r="12" ht="14" customHeight="1">
      <c r="A12" s="177">
        <v>5</v>
      </c>
      <c r="B12" t="s" s="106">
        <v>1014</v>
      </c>
      <c r="C12" t="s" s="106">
        <v>1015</v>
      </c>
      <c r="D12" t="b" s="107">
        <v>0</v>
      </c>
      <c r="E12" s="109">
        <v>390000</v>
      </c>
      <c r="F12" s="109">
        <f>E12</f>
        <v>390000</v>
      </c>
      <c r="G12" s="109"/>
      <c r="H12" s="109">
        <f>IF(D12,E12)</f>
        <v>0</v>
      </c>
      <c r="I12" s="109">
        <f>IF(D12,0,E12)</f>
        <v>390000</v>
      </c>
      <c r="J12" t="b" s="110">
        <v>1</v>
      </c>
      <c r="K12" s="111">
        <f>IF(J12,E12,0)</f>
        <v>390000</v>
      </c>
    </row>
    <row r="13" ht="14" customHeight="1">
      <c r="A13" s="112">
        <f>COUNTA($A8:$A12)</f>
        <v>5</v>
      </c>
      <c r="B13" t="s" s="128">
        <v>211</v>
      </c>
      <c r="C13" s="115"/>
      <c r="D13" s="116"/>
      <c r="E13" s="118">
        <f>SUM(E8:E12)</f>
        <v>799239</v>
      </c>
      <c r="F13" s="118">
        <f>SUM(F8:F12)</f>
        <v>799239</v>
      </c>
      <c r="G13" s="118">
        <f>SUM(G8:G12)</f>
        <v>0</v>
      </c>
      <c r="H13" s="118">
        <f>SUM(H8:H12)</f>
        <v>349239</v>
      </c>
      <c r="I13" s="118">
        <f>SUM(I8:I12)</f>
        <v>450000</v>
      </c>
      <c r="J13" s="118"/>
      <c r="K13" s="153">
        <f>SUM(K8:K12)</f>
        <v>799239</v>
      </c>
    </row>
    <row r="14" ht="14" customHeight="1">
      <c r="A14" s="120"/>
      <c r="B14" s="122"/>
      <c r="C14" s="123"/>
      <c r="D14" s="124"/>
      <c r="E14" s="126"/>
      <c r="F14" s="126"/>
      <c r="G14" s="126"/>
      <c r="H14" s="126"/>
      <c r="I14" s="126"/>
      <c r="J14" s="122"/>
      <c r="K14" s="127"/>
    </row>
    <row r="15" ht="14" customHeight="1">
      <c r="A15" s="185">
        <v>8</v>
      </c>
      <c r="B15" t="s" s="83">
        <v>632</v>
      </c>
      <c r="C15" t="s" s="83">
        <v>1016</v>
      </c>
      <c r="D15" t="b" s="84">
        <v>1</v>
      </c>
      <c r="E15" s="86">
        <v>146264</v>
      </c>
      <c r="F15" s="86">
        <f>E15</f>
        <v>146264</v>
      </c>
      <c r="G15" s="86"/>
      <c r="H15" s="86">
        <f>IF(D15,E15)</f>
        <v>146264</v>
      </c>
      <c r="I15" s="86">
        <f>IF(D15,0,E15)</f>
        <v>0</v>
      </c>
      <c r="J15" t="b" s="87">
        <v>1</v>
      </c>
      <c r="K15" s="88">
        <f>IF(J15,E15,0)</f>
        <v>146264</v>
      </c>
    </row>
    <row r="16" ht="14" customHeight="1">
      <c r="A16" s="89">
        <v>10</v>
      </c>
      <c r="B16" t="s" s="186">
        <v>66</v>
      </c>
      <c r="C16" t="s" s="91">
        <v>8</v>
      </c>
      <c r="D16" t="b" s="92">
        <v>1</v>
      </c>
      <c r="E16" s="94">
        <v>130779</v>
      </c>
      <c r="F16" s="94">
        <f>E16</f>
        <v>130779</v>
      </c>
      <c r="G16" s="94"/>
      <c r="H16" s="94">
        <f>IF(D16,E16)</f>
        <v>130779</v>
      </c>
      <c r="I16" s="94">
        <f>IF(D16,0,E16)</f>
        <v>0</v>
      </c>
      <c r="J16" t="b" s="95">
        <v>1</v>
      </c>
      <c r="K16" s="96">
        <f>IF(J16,E16,0)</f>
        <v>130779</v>
      </c>
    </row>
    <row r="17" ht="14" customHeight="1">
      <c r="A17" s="89">
        <v>11</v>
      </c>
      <c r="B17" t="s" s="168">
        <v>1014</v>
      </c>
      <c r="C17" t="s" s="98">
        <v>8</v>
      </c>
      <c r="D17" t="b" s="99">
        <v>1</v>
      </c>
      <c r="E17" s="101">
        <v>168708</v>
      </c>
      <c r="F17" s="101">
        <f>E17</f>
        <v>168708</v>
      </c>
      <c r="G17" s="101"/>
      <c r="H17" s="101">
        <f>IF(D17,E17)</f>
        <v>168708</v>
      </c>
      <c r="I17" s="101">
        <f>IF(D17,0,E17)</f>
        <v>0</v>
      </c>
      <c r="J17" t="b" s="102">
        <v>1</v>
      </c>
      <c r="K17" s="103">
        <f>IF(J17,E17,0)</f>
        <v>168708</v>
      </c>
    </row>
    <row r="18" ht="14" customHeight="1">
      <c r="A18" s="176">
        <v>11</v>
      </c>
      <c r="B18" t="s" s="91">
        <v>1014</v>
      </c>
      <c r="C18" t="s" s="91">
        <v>1049</v>
      </c>
      <c r="D18" t="b" s="92">
        <v>0</v>
      </c>
      <c r="E18" s="94">
        <v>220000</v>
      </c>
      <c r="F18" s="94">
        <f>E18</f>
        <v>220000</v>
      </c>
      <c r="G18" s="94"/>
      <c r="H18" s="94">
        <f>IF(D18,E18)</f>
        <v>0</v>
      </c>
      <c r="I18" s="94">
        <f>IF(D18,0,E18)</f>
        <v>220000</v>
      </c>
      <c r="J18" t="b" s="95">
        <v>1</v>
      </c>
      <c r="K18" s="96">
        <f>IF(J18,E18,0)</f>
        <v>220000</v>
      </c>
    </row>
    <row r="19" ht="14" customHeight="1">
      <c r="A19" s="89">
        <v>12</v>
      </c>
      <c r="B19" t="s" s="168">
        <v>1014</v>
      </c>
      <c r="C19" t="s" s="98">
        <v>1018</v>
      </c>
      <c r="D19" t="b" s="99">
        <v>0</v>
      </c>
      <c r="E19" s="101">
        <v>135000</v>
      </c>
      <c r="F19" s="101">
        <f>E19</f>
        <v>135000</v>
      </c>
      <c r="G19" s="101"/>
      <c r="H19" s="101">
        <f>IF(D19,E19)</f>
        <v>0</v>
      </c>
      <c r="I19" s="101">
        <f>IF(D19,0,E19)</f>
        <v>135000</v>
      </c>
      <c r="J19" t="b" s="102">
        <v>1</v>
      </c>
      <c r="K19" s="103">
        <f>IF(J19,E19,0)</f>
        <v>135000</v>
      </c>
    </row>
    <row r="20" ht="14" customHeight="1">
      <c r="A20" s="104">
        <v>13</v>
      </c>
      <c r="B20" t="s" s="187">
        <v>1014</v>
      </c>
      <c r="C20" t="s" s="106">
        <v>1019</v>
      </c>
      <c r="D20" t="b" s="107">
        <v>0</v>
      </c>
      <c r="E20" s="109">
        <v>82000</v>
      </c>
      <c r="F20" s="109">
        <f>E20</f>
        <v>82000</v>
      </c>
      <c r="G20" s="109"/>
      <c r="H20" s="109">
        <f>IF(D20,E20)</f>
        <v>0</v>
      </c>
      <c r="I20" s="109">
        <f>IF(D20,0,E20)</f>
        <v>82000</v>
      </c>
      <c r="J20" t="b" s="110">
        <v>1</v>
      </c>
      <c r="K20" s="111">
        <f>IF(J20,E20,0)</f>
        <v>82000</v>
      </c>
    </row>
    <row r="21" ht="14" customHeight="1">
      <c r="A21" s="112">
        <f>COUNTA($A15:$A20)</f>
        <v>6</v>
      </c>
      <c r="B21" t="s" s="128">
        <v>32</v>
      </c>
      <c r="C21" s="115"/>
      <c r="D21" s="116"/>
      <c r="E21" s="118">
        <f>SUM(E15:E20)</f>
        <v>882751</v>
      </c>
      <c r="F21" s="118">
        <f>SUM(F15:F20)</f>
        <v>882751</v>
      </c>
      <c r="G21" s="118">
        <f>SUM(G15:G20)</f>
        <v>0</v>
      </c>
      <c r="H21" s="118">
        <f>SUM(H15:H20)</f>
        <v>445751</v>
      </c>
      <c r="I21" s="119">
        <f>SUM(I15:I20)</f>
        <v>437000</v>
      </c>
      <c r="J21" s="188"/>
      <c r="K21" s="153">
        <f>SUM(K15:K20)</f>
        <v>882751</v>
      </c>
    </row>
    <row r="22" ht="14" customHeight="1">
      <c r="A22" s="120"/>
      <c r="B22" s="122"/>
      <c r="C22" s="123"/>
      <c r="D22" s="124"/>
      <c r="E22" s="126"/>
      <c r="F22" s="126"/>
      <c r="G22" s="126"/>
      <c r="H22" s="126"/>
      <c r="I22" s="126"/>
      <c r="J22" s="122"/>
      <c r="K22" s="127"/>
    </row>
    <row r="23" ht="14" customHeight="1">
      <c r="A23" s="185">
        <v>14</v>
      </c>
      <c r="B23" t="s" s="83">
        <v>1014</v>
      </c>
      <c r="C23" t="s" s="83">
        <v>8</v>
      </c>
      <c r="D23" t="b" s="84">
        <v>1</v>
      </c>
      <c r="E23" s="86">
        <v>169003</v>
      </c>
      <c r="F23" s="86">
        <f>E23</f>
        <v>169003</v>
      </c>
      <c r="G23" s="86"/>
      <c r="H23" s="86">
        <f>IF(D23,E23)</f>
        <v>169003</v>
      </c>
      <c r="I23" s="86">
        <f>IF(D23,0,E23)</f>
        <v>0</v>
      </c>
      <c r="J23" t="b" s="87">
        <v>1</v>
      </c>
      <c r="K23" s="88">
        <f>IF(J23,E23,0)</f>
        <v>169003</v>
      </c>
    </row>
    <row r="24" ht="14" customHeight="1">
      <c r="A24" s="176">
        <v>19</v>
      </c>
      <c r="B24" t="s" s="91">
        <v>22</v>
      </c>
      <c r="C24" t="s" s="91">
        <v>8</v>
      </c>
      <c r="D24" t="b" s="92">
        <v>1</v>
      </c>
      <c r="E24" s="94">
        <v>186708</v>
      </c>
      <c r="F24" s="94">
        <f>E24</f>
        <v>186708</v>
      </c>
      <c r="G24" s="171"/>
      <c r="H24" s="94">
        <f>IF(D24,E24)</f>
        <v>186708</v>
      </c>
      <c r="I24" s="94">
        <f>IF(D24,0,E24)</f>
        <v>0</v>
      </c>
      <c r="J24" t="b" s="95">
        <v>1</v>
      </c>
      <c r="K24" s="96">
        <f>IF(J24,E24,0)</f>
        <v>186708</v>
      </c>
    </row>
    <row r="25" ht="14" customHeight="1">
      <c r="A25" s="176">
        <v>27</v>
      </c>
      <c r="B25" t="s" s="98">
        <v>1025</v>
      </c>
      <c r="C25" t="s" s="98">
        <v>8</v>
      </c>
      <c r="D25" t="b" s="99">
        <v>1</v>
      </c>
      <c r="E25" s="101">
        <f t="shared" si="4"/>
        <v>36559.5</v>
      </c>
      <c r="F25" s="101">
        <f>E25</f>
        <v>36559.5</v>
      </c>
      <c r="G25" s="101"/>
      <c r="H25" s="101">
        <f>IF(D25,E25)</f>
        <v>36559.5</v>
      </c>
      <c r="I25" s="101">
        <f>IF(D25,0,E25)</f>
        <v>0</v>
      </c>
      <c r="J25" t="b" s="102">
        <v>0</v>
      </c>
      <c r="K25" s="103">
        <f>IF(J25,E25,0)</f>
        <v>0</v>
      </c>
    </row>
    <row r="26" ht="14" customHeight="1">
      <c r="A26" s="176">
        <v>30</v>
      </c>
      <c r="B26" t="s" s="91">
        <v>1027</v>
      </c>
      <c r="C26" t="s" s="91">
        <v>8</v>
      </c>
      <c r="D26" t="b" s="92">
        <v>1</v>
      </c>
      <c r="E26" s="94">
        <f t="shared" si="4"/>
        <v>36559.5</v>
      </c>
      <c r="F26" s="94">
        <f>E26</f>
        <v>36559.5</v>
      </c>
      <c r="G26" s="94"/>
      <c r="H26" s="94">
        <f>IF(D26,E26)</f>
        <v>36559.5</v>
      </c>
      <c r="I26" s="94">
        <f>IF(D26,0,E26)</f>
        <v>0</v>
      </c>
      <c r="J26" t="b" s="95">
        <v>0</v>
      </c>
      <c r="K26" s="96">
        <f>IF(J26,E26,0)</f>
        <v>0</v>
      </c>
    </row>
    <row r="27" ht="14" customHeight="1">
      <c r="A27" s="104">
        <v>20</v>
      </c>
      <c r="B27" t="s" s="189">
        <v>1011</v>
      </c>
      <c r="C27" t="s" s="178">
        <v>8</v>
      </c>
      <c r="D27" t="b" s="179">
        <v>1</v>
      </c>
      <c r="E27" s="180">
        <v>36751</v>
      </c>
      <c r="F27" s="180">
        <f>E27</f>
        <v>36751</v>
      </c>
      <c r="G27" s="180"/>
      <c r="H27" s="180">
        <f>IF(D27,E27)</f>
        <v>36751</v>
      </c>
      <c r="I27" s="180">
        <f>IF(D27,0,E27)</f>
        <v>0</v>
      </c>
      <c r="J27" t="b" s="181">
        <v>0</v>
      </c>
      <c r="K27" s="182">
        <f>IF(J27,E27,0)</f>
        <v>0</v>
      </c>
    </row>
    <row r="28" ht="14" customHeight="1">
      <c r="A28" s="112">
        <f>COUNTA(A23:A27)</f>
        <v>5</v>
      </c>
      <c r="B28" t="s" s="183">
        <v>52</v>
      </c>
      <c r="C28" s="154"/>
      <c r="D28" s="156"/>
      <c r="E28" s="158">
        <f>SUM(E23:E27)</f>
        <v>465581</v>
      </c>
      <c r="F28" s="158">
        <f>SUM(F23:F27)</f>
        <v>465581</v>
      </c>
      <c r="G28" s="158">
        <f>SUM(G23:G27)</f>
        <v>0</v>
      </c>
      <c r="H28" s="158">
        <f>SUM(H23:H27)</f>
        <v>465581</v>
      </c>
      <c r="I28" s="158">
        <f>SUM(I23:I27)</f>
        <v>0</v>
      </c>
      <c r="J28" s="158"/>
      <c r="K28" s="184">
        <f>SUM(K23:K27)</f>
        <v>355711</v>
      </c>
    </row>
    <row r="29" ht="14" customHeight="1">
      <c r="A29" s="120"/>
      <c r="B29" s="122"/>
      <c r="C29" s="123"/>
      <c r="D29" s="124"/>
      <c r="E29" s="126"/>
      <c r="F29" s="126"/>
      <c r="G29" s="126"/>
      <c r="H29" s="126"/>
      <c r="I29" s="126"/>
      <c r="J29" s="122"/>
      <c r="K29" s="127"/>
    </row>
    <row r="30" ht="14" customHeight="1">
      <c r="A30" s="185">
        <v>14</v>
      </c>
      <c r="B30" t="s" s="162">
        <v>1014</v>
      </c>
      <c r="C30" t="s" s="162">
        <v>8</v>
      </c>
      <c r="D30" t="b" s="163">
        <v>1</v>
      </c>
      <c r="E30" s="165">
        <v>169649</v>
      </c>
      <c r="F30" s="165">
        <f>E30</f>
        <v>169649</v>
      </c>
      <c r="G30" s="165"/>
      <c r="H30" s="165">
        <f>IF(D30,E30)</f>
        <v>169649</v>
      </c>
      <c r="I30" s="165">
        <f>IF(D30,0,E30)</f>
        <v>0</v>
      </c>
      <c r="J30" t="b" s="166">
        <v>1</v>
      </c>
      <c r="K30" s="167">
        <f>IF(J30,E30,0)</f>
        <v>169649</v>
      </c>
    </row>
    <row r="31" ht="14" customHeight="1">
      <c r="A31" s="176">
        <v>19</v>
      </c>
      <c r="B31" t="s" s="98">
        <v>22</v>
      </c>
      <c r="C31" t="s" s="98">
        <v>8</v>
      </c>
      <c r="D31" t="b" s="99">
        <v>1</v>
      </c>
      <c r="E31" s="101">
        <v>186708</v>
      </c>
      <c r="F31" s="101">
        <f>E31</f>
        <v>186708</v>
      </c>
      <c r="G31" s="169"/>
      <c r="H31" s="101">
        <f>IF(D31,E31)</f>
        <v>186708</v>
      </c>
      <c r="I31" s="101">
        <f>IF(D31,0,E31)</f>
        <v>0</v>
      </c>
      <c r="J31" t="b" s="102">
        <v>1</v>
      </c>
      <c r="K31" s="103">
        <f>IF(J31,E31,0)</f>
        <v>186708</v>
      </c>
    </row>
    <row r="32" ht="14" customHeight="1">
      <c r="A32" s="176">
        <v>4</v>
      </c>
      <c r="B32" t="s" s="91">
        <v>1013</v>
      </c>
      <c r="C32" t="s" s="91">
        <v>8</v>
      </c>
      <c r="D32" t="b" s="92">
        <v>1</v>
      </c>
      <c r="E32" s="94">
        <v>106903</v>
      </c>
      <c r="F32" s="94">
        <f>E32</f>
        <v>106903</v>
      </c>
      <c r="G32" s="94"/>
      <c r="H32" s="94">
        <f>IF(D32,E32)</f>
        <v>106903</v>
      </c>
      <c r="I32" s="94">
        <f>IF(D32,0,E32)</f>
        <v>0</v>
      </c>
      <c r="J32" t="b" s="95">
        <v>1</v>
      </c>
      <c r="K32" s="96">
        <f>IF(J32,E32,0)</f>
        <v>106903</v>
      </c>
    </row>
    <row r="33" ht="14" customHeight="1">
      <c r="A33" s="177">
        <v>3</v>
      </c>
      <c r="B33" t="s" s="178">
        <v>1011</v>
      </c>
      <c r="C33" t="s" s="178">
        <v>1012</v>
      </c>
      <c r="D33" t="b" s="179">
        <v>0</v>
      </c>
      <c r="E33" s="180">
        <v>60000</v>
      </c>
      <c r="F33" s="180">
        <f>E33</f>
        <v>60000</v>
      </c>
      <c r="G33" s="180"/>
      <c r="H33" s="180">
        <f>IF(D33,E33)</f>
        <v>0</v>
      </c>
      <c r="I33" s="180">
        <f>IF(D33,0,E33)</f>
        <v>60000</v>
      </c>
      <c r="J33" t="b" s="181">
        <v>1</v>
      </c>
      <c r="K33" s="182">
        <f>IF(J33,E33,0)</f>
        <v>60000</v>
      </c>
    </row>
    <row r="34" ht="14" customHeight="1">
      <c r="A34" s="112">
        <f>COUNTA($A30:$A33)</f>
        <v>4</v>
      </c>
      <c r="B34" t="s" s="183">
        <v>70</v>
      </c>
      <c r="C34" s="154"/>
      <c r="D34" s="156"/>
      <c r="E34" s="158">
        <f>SUM(E30:E33)</f>
        <v>523260</v>
      </c>
      <c r="F34" s="158">
        <f>SUM(F30:F33)</f>
        <v>523260</v>
      </c>
      <c r="G34" s="158">
        <f>SUM(G30:G33)</f>
        <v>0</v>
      </c>
      <c r="H34" s="158">
        <f>SUM(H30:H33)</f>
        <v>463260</v>
      </c>
      <c r="I34" s="158">
        <f>SUM(I30:I33)</f>
        <v>60000</v>
      </c>
      <c r="J34" s="158"/>
      <c r="K34" s="184">
        <f>SUM(K30:K33)</f>
        <v>523260</v>
      </c>
    </row>
    <row r="35" ht="14" customHeight="1">
      <c r="A35" s="120"/>
      <c r="B35" s="122"/>
      <c r="C35" s="123"/>
      <c r="D35" s="124"/>
      <c r="E35" s="126"/>
      <c r="F35" s="126"/>
      <c r="G35" s="126"/>
      <c r="H35" s="126"/>
      <c r="I35" s="126"/>
      <c r="J35" s="122"/>
      <c r="K35" s="127"/>
    </row>
    <row r="36" ht="14" customHeight="1">
      <c r="A36" s="185">
        <v>2</v>
      </c>
      <c r="B36" t="s" s="162">
        <v>632</v>
      </c>
      <c r="C36" t="s" s="162">
        <v>1010</v>
      </c>
      <c r="D36" t="b" s="163">
        <v>1</v>
      </c>
      <c r="E36" s="165">
        <v>112500</v>
      </c>
      <c r="F36" s="165">
        <f>E36</f>
        <v>112500</v>
      </c>
      <c r="G36" s="165"/>
      <c r="H36" s="165">
        <f>IF(D36,E36)</f>
        <v>112500</v>
      </c>
      <c r="I36" s="165">
        <f>IF(D36,0,E36)</f>
        <v>0</v>
      </c>
      <c r="J36" t="b" s="166">
        <v>1</v>
      </c>
      <c r="K36" s="167">
        <f>IF(J36,E36,0)</f>
        <v>112500</v>
      </c>
    </row>
    <row r="37" ht="14" customHeight="1">
      <c r="A37" s="176">
        <v>14</v>
      </c>
      <c r="B37" t="s" s="98">
        <v>1014</v>
      </c>
      <c r="C37" t="s" s="98">
        <v>8</v>
      </c>
      <c r="D37" t="b" s="99">
        <v>1</v>
      </c>
      <c r="E37" s="101">
        <v>169891</v>
      </c>
      <c r="F37" s="101">
        <f>E37</f>
        <v>169891</v>
      </c>
      <c r="G37" s="101"/>
      <c r="H37" s="101">
        <f>IF(D37,E37)</f>
        <v>169891</v>
      </c>
      <c r="I37" s="101">
        <f>IF(D37,0,E37)</f>
        <v>0</v>
      </c>
      <c r="J37" t="b" s="102">
        <v>1</v>
      </c>
      <c r="K37" s="103">
        <f>IF(J37,E37,0)</f>
        <v>169891</v>
      </c>
    </row>
    <row r="38" ht="14" customHeight="1">
      <c r="A38" s="176">
        <v>19</v>
      </c>
      <c r="B38" t="s" s="91">
        <v>22</v>
      </c>
      <c r="C38" t="s" s="91">
        <v>8</v>
      </c>
      <c r="D38" t="b" s="92">
        <v>1</v>
      </c>
      <c r="E38" s="94">
        <v>186708</v>
      </c>
      <c r="F38" s="94">
        <f>E38</f>
        <v>186708</v>
      </c>
      <c r="G38" s="171"/>
      <c r="H38" s="94">
        <f>IF(D38,E38)</f>
        <v>186708</v>
      </c>
      <c r="I38" s="94">
        <f>IF(D38,0,E38)</f>
        <v>0</v>
      </c>
      <c r="J38" t="b" s="95">
        <v>1</v>
      </c>
      <c r="K38" s="96">
        <f>IF(J38,E38,0)</f>
        <v>186708</v>
      </c>
    </row>
    <row r="39" ht="14" customHeight="1">
      <c r="A39" s="176">
        <v>4</v>
      </c>
      <c r="B39" t="s" s="98">
        <v>1013</v>
      </c>
      <c r="C39" t="s" s="98">
        <v>8</v>
      </c>
      <c r="D39" t="b" s="99">
        <v>1</v>
      </c>
      <c r="E39" s="101">
        <v>106903</v>
      </c>
      <c r="F39" s="101">
        <f>E39</f>
        <v>106903</v>
      </c>
      <c r="G39" s="101"/>
      <c r="H39" s="101">
        <f>IF(D39,E39)</f>
        <v>106903</v>
      </c>
      <c r="I39" s="101">
        <f>IF(D39,0,E39)</f>
        <v>0</v>
      </c>
      <c r="J39" t="b" s="102">
        <v>1</v>
      </c>
      <c r="K39" s="103">
        <f>IF(J39,E39,0)</f>
        <v>106903</v>
      </c>
    </row>
    <row r="40" ht="14" customHeight="1">
      <c r="A40" s="176">
        <v>3</v>
      </c>
      <c r="B40" t="s" s="91">
        <v>1011</v>
      </c>
      <c r="C40" t="s" s="91">
        <v>1012</v>
      </c>
      <c r="D40" t="b" s="92">
        <v>0</v>
      </c>
      <c r="E40" s="94">
        <v>60000</v>
      </c>
      <c r="F40" s="94">
        <f>E40</f>
        <v>60000</v>
      </c>
      <c r="G40" s="94"/>
      <c r="H40" s="94">
        <f>IF(D40,E40)</f>
        <v>0</v>
      </c>
      <c r="I40" s="94">
        <f>IF(D40,0,E40)</f>
        <v>60000</v>
      </c>
      <c r="J40" t="b" s="95">
        <v>1</v>
      </c>
      <c r="K40" s="96">
        <f>IF(J40,E40,0)</f>
        <v>60000</v>
      </c>
    </row>
    <row r="41" ht="14" customHeight="1">
      <c r="A41" s="177">
        <v>5</v>
      </c>
      <c r="B41" t="s" s="178">
        <v>1014</v>
      </c>
      <c r="C41" t="s" s="178">
        <v>1015</v>
      </c>
      <c r="D41" t="b" s="179">
        <v>0</v>
      </c>
      <c r="E41" s="180">
        <v>390000</v>
      </c>
      <c r="F41" s="180">
        <f>E41</f>
        <v>390000</v>
      </c>
      <c r="G41" s="180"/>
      <c r="H41" s="180">
        <f>IF(D41,E41)</f>
        <v>0</v>
      </c>
      <c r="I41" s="180">
        <f>IF(D41,0,E41)</f>
        <v>390000</v>
      </c>
      <c r="J41" t="b" s="181">
        <v>1</v>
      </c>
      <c r="K41" s="182">
        <f>IF(J41,E41,0)</f>
        <v>390000</v>
      </c>
    </row>
    <row r="42" ht="14" customHeight="1">
      <c r="A42" s="112">
        <f>COUNTA(A36:A41)</f>
        <v>6</v>
      </c>
      <c r="B42" t="s" s="183">
        <v>84</v>
      </c>
      <c r="C42" s="154"/>
      <c r="D42" s="156"/>
      <c r="E42" s="158">
        <f>SUM(E36:E41)</f>
        <v>1026002</v>
      </c>
      <c r="F42" s="158">
        <f>SUM(F36:F41)</f>
        <v>1026002</v>
      </c>
      <c r="G42" s="158">
        <f>SUM(G36:G41)</f>
        <v>0</v>
      </c>
      <c r="H42" s="158">
        <f>SUM(H36:H41)</f>
        <v>576002</v>
      </c>
      <c r="I42" s="158">
        <f>SUM(I36:I41)</f>
        <v>450000</v>
      </c>
      <c r="J42" s="158"/>
      <c r="K42" s="184">
        <f>SUM(K36:K41)</f>
        <v>1026002</v>
      </c>
    </row>
    <row r="43" ht="14" customHeight="1">
      <c r="A43" s="120"/>
      <c r="B43" s="122"/>
      <c r="C43" s="123"/>
      <c r="D43" s="124"/>
      <c r="E43" s="126"/>
      <c r="F43" s="126"/>
      <c r="G43" s="126"/>
      <c r="H43" s="126"/>
      <c r="I43" s="126"/>
      <c r="J43" s="122"/>
      <c r="K43" s="127"/>
    </row>
    <row r="44" ht="14" customHeight="1">
      <c r="A44" s="185">
        <v>14</v>
      </c>
      <c r="B44" t="s" s="162">
        <v>1014</v>
      </c>
      <c r="C44" t="s" s="162">
        <v>8</v>
      </c>
      <c r="D44" t="b" s="163">
        <v>1</v>
      </c>
      <c r="E44" s="165">
        <v>170141</v>
      </c>
      <c r="F44" s="165">
        <f>E44</f>
        <v>170141</v>
      </c>
      <c r="G44" s="165"/>
      <c r="H44" s="165">
        <f>IF(D44,E44)</f>
        <v>170141</v>
      </c>
      <c r="I44" s="165">
        <f>IF(D44,0,E44)</f>
        <v>0</v>
      </c>
      <c r="J44" t="b" s="166">
        <v>1</v>
      </c>
      <c r="K44" s="167">
        <f>IF(J44,E44,0)</f>
        <v>170141</v>
      </c>
    </row>
    <row r="45" ht="14" customHeight="1">
      <c r="A45" s="177">
        <v>19</v>
      </c>
      <c r="B45" t="s" s="178">
        <v>22</v>
      </c>
      <c r="C45" t="s" s="178">
        <v>8</v>
      </c>
      <c r="D45" t="b" s="179">
        <v>1</v>
      </c>
      <c r="E45" s="180">
        <v>186708</v>
      </c>
      <c r="F45" s="180">
        <f>E45</f>
        <v>186708</v>
      </c>
      <c r="G45" s="190"/>
      <c r="H45" s="180">
        <f>IF(D45,E45)</f>
        <v>186708</v>
      </c>
      <c r="I45" s="180">
        <f>IF(D45,0,E45)</f>
        <v>0</v>
      </c>
      <c r="J45" t="b" s="181">
        <v>1</v>
      </c>
      <c r="K45" s="182">
        <f>IF(J45,E45,0)</f>
        <v>186708</v>
      </c>
    </row>
    <row r="46" ht="14" customHeight="1">
      <c r="A46" s="112">
        <f>COUNTA(A44:A45)</f>
        <v>2</v>
      </c>
      <c r="B46" t="s" s="183">
        <v>101</v>
      </c>
      <c r="C46" s="154"/>
      <c r="D46" s="156"/>
      <c r="E46" s="158">
        <f>SUM(E44:E45)</f>
        <v>356849</v>
      </c>
      <c r="F46" s="158">
        <f>SUM(F44:F45)</f>
        <v>356849</v>
      </c>
      <c r="G46" s="158">
        <f>SUM(G44:G45)</f>
        <v>0</v>
      </c>
      <c r="H46" s="158">
        <f>SUM(H44:H45)</f>
        <v>356849</v>
      </c>
      <c r="I46" s="158">
        <f>SUM(I44:I45)</f>
        <v>0</v>
      </c>
      <c r="J46" s="158"/>
      <c r="K46" s="184">
        <f>SUM(K44:K45)</f>
        <v>356849</v>
      </c>
    </row>
    <row r="47" ht="14" customHeight="1">
      <c r="A47" s="120"/>
      <c r="B47" s="122"/>
      <c r="C47" s="123"/>
      <c r="D47" s="124"/>
      <c r="E47" s="126"/>
      <c r="F47" s="126"/>
      <c r="G47" s="126"/>
      <c r="H47" s="126"/>
      <c r="I47" s="126"/>
      <c r="J47" s="122"/>
      <c r="K47" s="127"/>
    </row>
    <row r="48" ht="14" customHeight="1">
      <c r="A48" s="185">
        <v>15</v>
      </c>
      <c r="B48" t="s" s="162">
        <v>1014</v>
      </c>
      <c r="C48" t="s" s="162">
        <v>1021</v>
      </c>
      <c r="D48" t="b" s="163">
        <v>0</v>
      </c>
      <c r="E48" s="165">
        <v>320000</v>
      </c>
      <c r="F48" s="165">
        <f>E48</f>
        <v>320000</v>
      </c>
      <c r="G48" s="165"/>
      <c r="H48" s="165">
        <f>IF(D48,E48)</f>
        <v>0</v>
      </c>
      <c r="I48" s="165">
        <f>IF(D48,0,E48)</f>
        <v>320000</v>
      </c>
      <c r="J48" t="b" s="166">
        <v>1</v>
      </c>
      <c r="K48" s="167">
        <f>IF(J48,E48,0)</f>
        <v>320000</v>
      </c>
    </row>
    <row r="49" ht="14" customHeight="1">
      <c r="A49" s="89">
        <v>16</v>
      </c>
      <c r="B49" t="s" s="168">
        <v>22</v>
      </c>
      <c r="C49" t="s" s="98">
        <v>1022</v>
      </c>
      <c r="D49" t="b" s="99">
        <v>0</v>
      </c>
      <c r="E49" s="101">
        <v>210000</v>
      </c>
      <c r="F49" s="101">
        <f>E49</f>
        <v>210000</v>
      </c>
      <c r="G49" s="101"/>
      <c r="H49" s="101">
        <f>IF(D49,E49)</f>
        <v>0</v>
      </c>
      <c r="I49" s="101">
        <f>IF(D49,0,E49)</f>
        <v>210000</v>
      </c>
      <c r="J49" t="b" s="102">
        <v>1</v>
      </c>
      <c r="K49" s="103">
        <f>IF(J49,E49,0)</f>
        <v>210000</v>
      </c>
    </row>
    <row r="50" ht="14" customHeight="1">
      <c r="A50" s="89">
        <v>25</v>
      </c>
      <c r="B50" t="s" s="186">
        <v>1014</v>
      </c>
      <c r="C50" t="s" s="91">
        <v>8</v>
      </c>
      <c r="D50" t="b" s="92">
        <v>1</v>
      </c>
      <c r="E50" s="94">
        <v>171083</v>
      </c>
      <c r="F50" s="94">
        <f>E50</f>
        <v>171083</v>
      </c>
      <c r="G50" s="94"/>
      <c r="H50" s="94">
        <f>IF(D50,E50)</f>
        <v>171083</v>
      </c>
      <c r="I50" s="94">
        <f>IF(D50,0,E50)</f>
        <v>0</v>
      </c>
      <c r="J50" t="b" s="95">
        <v>1</v>
      </c>
      <c r="K50" s="96">
        <f>IF(J50,E50,0)</f>
        <v>171083</v>
      </c>
    </row>
    <row r="51" ht="14" customHeight="1">
      <c r="A51" s="89">
        <v>35</v>
      </c>
      <c r="B51" t="s" s="168">
        <v>22</v>
      </c>
      <c r="C51" t="s" s="98">
        <v>8</v>
      </c>
      <c r="D51" t="b" s="99">
        <v>1</v>
      </c>
      <c r="E51" s="101">
        <v>188483</v>
      </c>
      <c r="F51" s="169"/>
      <c r="G51" s="101">
        <f>E51</f>
        <v>188483</v>
      </c>
      <c r="H51" s="101">
        <f>IF(D51,E51)</f>
        <v>188483</v>
      </c>
      <c r="I51" s="101">
        <f>IF(D51,0,E51)</f>
        <v>0</v>
      </c>
      <c r="J51" t="b" s="102">
        <v>1</v>
      </c>
      <c r="K51" s="103">
        <f>IF(J51,E51,0)</f>
        <v>188483</v>
      </c>
    </row>
    <row r="52" ht="14" customHeight="1">
      <c r="A52" s="89">
        <v>18</v>
      </c>
      <c r="B52" t="s" s="186">
        <v>1023</v>
      </c>
      <c r="C52" t="s" s="91">
        <v>8</v>
      </c>
      <c r="D52" t="b" s="92">
        <v>1</v>
      </c>
      <c r="E52" s="94">
        <v>46044</v>
      </c>
      <c r="F52" s="94"/>
      <c r="G52" s="94">
        <f>E52</f>
        <v>46044</v>
      </c>
      <c r="H52" s="94">
        <f>IF(D52,E52)</f>
        <v>46044</v>
      </c>
      <c r="I52" s="94">
        <f>IF(D52,0,E52)</f>
        <v>0</v>
      </c>
      <c r="J52" t="b" s="95">
        <v>1</v>
      </c>
      <c r="K52" s="96">
        <f>IF(J52,E52,0)</f>
        <v>46044</v>
      </c>
    </row>
    <row r="53" ht="14" customHeight="1">
      <c r="A53" s="89">
        <v>21</v>
      </c>
      <c r="B53" t="s" s="168">
        <v>1011</v>
      </c>
      <c r="C53" t="s" s="98">
        <v>8</v>
      </c>
      <c r="D53" t="b" s="99">
        <v>1</v>
      </c>
      <c r="E53" s="101">
        <v>37101</v>
      </c>
      <c r="F53" s="101"/>
      <c r="G53" s="101">
        <f>E53</f>
        <v>37101</v>
      </c>
      <c r="H53" s="101">
        <f>IF(D53,E53)</f>
        <v>37101</v>
      </c>
      <c r="I53" s="101">
        <f>IF(D53,0,E53)</f>
        <v>0</v>
      </c>
      <c r="J53" t="b" s="102">
        <v>0</v>
      </c>
      <c r="K53" s="103">
        <f>IF(J53,E53,0)</f>
        <v>0</v>
      </c>
    </row>
    <row r="54" ht="14" customHeight="1">
      <c r="A54" s="89">
        <v>30</v>
      </c>
      <c r="B54" t="s" s="186">
        <v>1027</v>
      </c>
      <c r="C54" t="s" s="91">
        <v>8</v>
      </c>
      <c r="D54" t="b" s="92">
        <v>1</v>
      </c>
      <c r="E54" s="94">
        <v>36559</v>
      </c>
      <c r="F54" s="94"/>
      <c r="G54" s="94">
        <f>E54-F54</f>
        <v>36559</v>
      </c>
      <c r="H54" s="94">
        <f>IF(D54,E54)</f>
        <v>36559</v>
      </c>
      <c r="I54" s="94">
        <f>IF(D54,0,E54)</f>
        <v>0</v>
      </c>
      <c r="J54" t="b" s="95">
        <v>0</v>
      </c>
      <c r="K54" s="96">
        <f>IF(J54,E54,0)</f>
        <v>0</v>
      </c>
    </row>
    <row r="55" ht="14" customHeight="1">
      <c r="A55" s="104">
        <v>27</v>
      </c>
      <c r="B55" t="s" s="189">
        <v>1025</v>
      </c>
      <c r="C55" t="s" s="178">
        <v>8</v>
      </c>
      <c r="D55" t="b" s="179">
        <v>1</v>
      </c>
      <c r="E55" s="180">
        <v>36559</v>
      </c>
      <c r="F55" s="190"/>
      <c r="G55" s="180">
        <f>E55</f>
        <v>36559</v>
      </c>
      <c r="H55" s="180">
        <f>IF(D55,E55)</f>
        <v>36559</v>
      </c>
      <c r="I55" s="180">
        <f>IF(D55,0,E55)</f>
        <v>0</v>
      </c>
      <c r="J55" t="b" s="181">
        <v>0</v>
      </c>
      <c r="K55" s="182">
        <f>IF(J55,E55,0)</f>
        <v>0</v>
      </c>
    </row>
    <row r="56" ht="14" customHeight="1">
      <c r="A56" s="112">
        <f>COUNTA($A48:$A55)</f>
        <v>8</v>
      </c>
      <c r="B56" t="s" s="183">
        <v>122</v>
      </c>
      <c r="C56" s="154"/>
      <c r="D56" s="156"/>
      <c r="E56" s="158">
        <f>SUM(E48:E55)</f>
        <v>1045829</v>
      </c>
      <c r="F56" s="158">
        <f>SUM(F48:F55)</f>
        <v>701083</v>
      </c>
      <c r="G56" s="158">
        <f>SUM(G48:G55)</f>
        <v>344746</v>
      </c>
      <c r="H56" s="158">
        <f>SUM(H48:H55)</f>
        <v>515829</v>
      </c>
      <c r="I56" s="160">
        <f>SUM(I48:I55)</f>
        <v>530000</v>
      </c>
      <c r="J56" s="191"/>
      <c r="K56" s="184">
        <f>SUM(K48:K55)</f>
        <v>935610</v>
      </c>
    </row>
    <row r="57" ht="14" customHeight="1">
      <c r="A57" s="120"/>
      <c r="B57" s="122"/>
      <c r="C57" s="123"/>
      <c r="D57" s="124"/>
      <c r="E57" s="126"/>
      <c r="F57" s="126"/>
      <c r="G57" s="126"/>
      <c r="H57" s="126"/>
      <c r="I57" s="126"/>
      <c r="J57" s="122"/>
      <c r="K57" s="127"/>
    </row>
    <row r="58" ht="14" customHeight="1">
      <c r="A58" s="185">
        <v>31</v>
      </c>
      <c r="B58" t="s" s="162">
        <v>1023</v>
      </c>
      <c r="C58" t="s" s="162">
        <v>1028</v>
      </c>
      <c r="D58" t="b" s="163">
        <v>0</v>
      </c>
      <c r="E58" s="165">
        <v>40000</v>
      </c>
      <c r="F58" s="165">
        <f>E58</f>
        <v>40000</v>
      </c>
      <c r="G58" s="165">
        <f>E58-F58</f>
        <v>0</v>
      </c>
      <c r="H58" s="165">
        <f>IF(D58,E58)</f>
        <v>0</v>
      </c>
      <c r="I58" s="165">
        <f>IF(D58,0,E58)</f>
        <v>40000</v>
      </c>
      <c r="J58" t="b" s="166">
        <v>0</v>
      </c>
      <c r="K58" s="167">
        <f>IF(J58,E58,0)</f>
        <v>0</v>
      </c>
    </row>
    <row r="59" ht="14" customHeight="1">
      <c r="A59" s="89">
        <v>32</v>
      </c>
      <c r="B59" t="s" s="168">
        <v>632</v>
      </c>
      <c r="C59" t="s" s="98">
        <v>86</v>
      </c>
      <c r="D59" t="b" s="99">
        <v>0</v>
      </c>
      <c r="E59" s="101">
        <v>30000</v>
      </c>
      <c r="F59" s="101">
        <f>E59</f>
        <v>30000</v>
      </c>
      <c r="G59" s="101">
        <f>E59-F59</f>
        <v>0</v>
      </c>
      <c r="H59" s="101">
        <f>IF(D59,E59)</f>
        <v>0</v>
      </c>
      <c r="I59" s="101">
        <f>IF(D59,0,E59)</f>
        <v>30000</v>
      </c>
      <c r="J59" t="b" s="102">
        <v>1</v>
      </c>
      <c r="K59" s="103">
        <f>IF(J59,E59,0)</f>
        <v>30000</v>
      </c>
    </row>
    <row r="60" ht="14" customHeight="1">
      <c r="A60" s="176">
        <v>48</v>
      </c>
      <c r="B60" t="s" s="91">
        <v>1014</v>
      </c>
      <c r="C60" t="s" s="91">
        <v>8</v>
      </c>
      <c r="D60" t="b" s="92">
        <v>1</v>
      </c>
      <c r="E60" s="94">
        <v>171117</v>
      </c>
      <c r="F60" s="94">
        <f>E60</f>
        <v>171117</v>
      </c>
      <c r="G60" s="171"/>
      <c r="H60" s="94">
        <f>IF(D60,E60)</f>
        <v>171117</v>
      </c>
      <c r="I60" s="94">
        <f>IF(D60,0,E60)</f>
        <v>0</v>
      </c>
      <c r="J60" t="b" s="95">
        <v>0</v>
      </c>
      <c r="K60" s="96">
        <f>IF(J60,E60,0)</f>
        <v>0</v>
      </c>
    </row>
    <row r="61" ht="14" customHeight="1">
      <c r="A61" s="89">
        <v>33</v>
      </c>
      <c r="B61" t="s" s="168">
        <v>66</v>
      </c>
      <c r="C61" t="s" s="98">
        <v>8</v>
      </c>
      <c r="D61" t="b" s="99">
        <v>1</v>
      </c>
      <c r="E61" s="101">
        <v>132548</v>
      </c>
      <c r="F61" s="101"/>
      <c r="G61" s="101">
        <f>E61-F61</f>
        <v>132548</v>
      </c>
      <c r="H61" s="101">
        <f>IF(D61,E61)</f>
        <v>132548</v>
      </c>
      <c r="I61" s="101">
        <f>IF(D61,0,E61)</f>
        <v>0</v>
      </c>
      <c r="J61" t="b" s="102">
        <v>1</v>
      </c>
      <c r="K61" s="103">
        <f>IF(J61,E61,0)</f>
        <v>132548</v>
      </c>
    </row>
    <row r="62" ht="14" customHeight="1">
      <c r="A62" s="176">
        <v>35</v>
      </c>
      <c r="B62" t="s" s="91">
        <v>22</v>
      </c>
      <c r="C62" t="s" s="91">
        <v>8</v>
      </c>
      <c r="D62" t="b" s="92">
        <v>1</v>
      </c>
      <c r="E62" s="94">
        <v>189044</v>
      </c>
      <c r="F62" s="94"/>
      <c r="G62" s="94">
        <f>E62-F62</f>
        <v>189044</v>
      </c>
      <c r="H62" s="94">
        <f>IF(D62,E62)</f>
        <v>189044</v>
      </c>
      <c r="I62" s="94">
        <f>IF(D62,0,E62)</f>
        <v>0</v>
      </c>
      <c r="J62" t="b" s="95">
        <v>0</v>
      </c>
      <c r="K62" s="96">
        <f>IF(J62,E62,0)</f>
        <v>0</v>
      </c>
    </row>
    <row r="63" ht="14" customHeight="1">
      <c r="A63" s="176">
        <v>36</v>
      </c>
      <c r="B63" t="s" s="98">
        <v>1023</v>
      </c>
      <c r="C63" t="s" s="98">
        <v>8</v>
      </c>
      <c r="D63" t="b" s="99">
        <v>1</v>
      </c>
      <c r="E63" s="101">
        <v>46044</v>
      </c>
      <c r="F63" s="101"/>
      <c r="G63" s="101">
        <f>E63-F63</f>
        <v>46044</v>
      </c>
      <c r="H63" s="101">
        <f>IF(D63,E63)</f>
        <v>46044</v>
      </c>
      <c r="I63" s="101">
        <f>IF(D63,0,E63)</f>
        <v>0</v>
      </c>
      <c r="J63" t="b" s="102">
        <v>0</v>
      </c>
      <c r="K63" s="103">
        <f>IF(J63,E63,0)</f>
        <v>0</v>
      </c>
    </row>
    <row r="64" ht="14" customHeight="1">
      <c r="A64" s="104">
        <v>26</v>
      </c>
      <c r="B64" t="s" s="187">
        <v>632</v>
      </c>
      <c r="C64" t="s" s="106">
        <v>1024</v>
      </c>
      <c r="D64" t="b" s="107">
        <v>0</v>
      </c>
      <c r="E64" s="109">
        <v>209143</v>
      </c>
      <c r="F64" s="109"/>
      <c r="G64" s="109">
        <f>E64</f>
        <v>209143</v>
      </c>
      <c r="H64" s="109">
        <f>IF(D64,E64)</f>
        <v>0</v>
      </c>
      <c r="I64" s="109">
        <f>IF(D64,0,E64)</f>
        <v>209143</v>
      </c>
      <c r="J64" t="b" s="110">
        <v>1</v>
      </c>
      <c r="K64" s="111">
        <f>IF(J64,E64,0)</f>
        <v>209143</v>
      </c>
    </row>
    <row r="65" ht="14" customHeight="1">
      <c r="A65" s="129">
        <f>COUNTA(A58:A64)</f>
        <v>7</v>
      </c>
      <c r="B65" t="s" s="115">
        <v>140</v>
      </c>
      <c r="C65" s="115"/>
      <c r="D65" s="116"/>
      <c r="E65" s="118">
        <f>SUM(E58:E64)</f>
        <v>817896</v>
      </c>
      <c r="F65" s="118">
        <f>SUM(F58:F64)</f>
        <v>241117</v>
      </c>
      <c r="G65" s="118">
        <f>SUM(G58:G64)</f>
        <v>576779</v>
      </c>
      <c r="H65" s="118">
        <f>SUM(H58:H64)</f>
        <v>538753</v>
      </c>
      <c r="I65" s="119">
        <f>SUM(I58:I64)</f>
        <v>279143</v>
      </c>
      <c r="J65" s="188"/>
      <c r="K65" s="153">
        <f>SUM(K58:K64)</f>
        <v>371691</v>
      </c>
    </row>
    <row r="66" ht="14" customHeight="1">
      <c r="A66" s="120"/>
      <c r="B66" s="122"/>
      <c r="C66" s="123"/>
      <c r="D66" s="124"/>
      <c r="E66" s="126"/>
      <c r="F66" s="126"/>
      <c r="G66" s="126"/>
      <c r="H66" s="126"/>
      <c r="I66" s="126"/>
      <c r="J66" s="122"/>
      <c r="K66" s="127"/>
    </row>
    <row r="67" ht="14" customHeight="1">
      <c r="A67" s="185">
        <v>37</v>
      </c>
      <c r="B67" t="s" s="83">
        <v>1014</v>
      </c>
      <c r="C67" t="s" s="83">
        <v>1031</v>
      </c>
      <c r="D67" t="b" s="84">
        <v>0</v>
      </c>
      <c r="E67" s="86">
        <v>375000</v>
      </c>
      <c r="F67" s="86">
        <f>E67</f>
        <v>375000</v>
      </c>
      <c r="G67" s="86">
        <f>E67-F67</f>
        <v>0</v>
      </c>
      <c r="H67" s="86">
        <f>IF(D67,E67)</f>
        <v>0</v>
      </c>
      <c r="I67" s="86">
        <f>IF(D67,0,E67)</f>
        <v>375000</v>
      </c>
      <c r="J67" t="b" s="87">
        <v>0</v>
      </c>
      <c r="K67" s="88">
        <f>IF(J67,E67,0)</f>
        <v>0</v>
      </c>
    </row>
    <row r="68" ht="14" customHeight="1">
      <c r="A68" s="176">
        <v>48</v>
      </c>
      <c r="B68" t="s" s="91">
        <v>1014</v>
      </c>
      <c r="C68" t="s" s="91">
        <v>8</v>
      </c>
      <c r="D68" t="b" s="92">
        <v>1</v>
      </c>
      <c r="E68" s="94">
        <v>171381</v>
      </c>
      <c r="F68" s="94">
        <f>E68</f>
        <v>171381</v>
      </c>
      <c r="G68" s="171"/>
      <c r="H68" s="94">
        <f>IF(D68,E68)</f>
        <v>171381</v>
      </c>
      <c r="I68" s="94">
        <f>IF(D68,0,E68)</f>
        <v>0</v>
      </c>
      <c r="J68" t="b" s="95">
        <v>0</v>
      </c>
      <c r="K68" s="96">
        <f>IF(J68,E68,0)</f>
        <v>0</v>
      </c>
    </row>
    <row r="69" ht="14" customHeight="1">
      <c r="A69" s="176">
        <v>45</v>
      </c>
      <c r="B69" t="s" s="98">
        <v>22</v>
      </c>
      <c r="C69" t="s" s="98">
        <v>8</v>
      </c>
      <c r="D69" t="b" s="99">
        <v>1</v>
      </c>
      <c r="E69" s="101">
        <v>189335</v>
      </c>
      <c r="F69" s="101"/>
      <c r="G69" s="101">
        <f>E69-F69</f>
        <v>189335</v>
      </c>
      <c r="H69" s="101">
        <f>IF(D69,E69)</f>
        <v>189335</v>
      </c>
      <c r="I69" s="101">
        <f>IF(D69,0,E69)</f>
        <v>0</v>
      </c>
      <c r="J69" t="b" s="102">
        <v>0</v>
      </c>
      <c r="K69" s="103">
        <f>IF(J69,E69,0)</f>
        <v>0</v>
      </c>
    </row>
    <row r="70" ht="14" customHeight="1">
      <c r="A70" s="176">
        <v>47</v>
      </c>
      <c r="B70" t="s" s="91">
        <v>1023</v>
      </c>
      <c r="C70" t="s" s="91">
        <v>8</v>
      </c>
      <c r="D70" t="b" s="92">
        <v>1</v>
      </c>
      <c r="E70" s="94">
        <v>46246</v>
      </c>
      <c r="F70" s="94"/>
      <c r="G70" s="94">
        <f>E70-F70</f>
        <v>46246</v>
      </c>
      <c r="H70" s="94">
        <f>IF(D70,E70)</f>
        <v>46246</v>
      </c>
      <c r="I70" s="94">
        <f>IF(D70,0,E70)</f>
        <v>0</v>
      </c>
      <c r="J70" t="b" s="95">
        <v>0</v>
      </c>
      <c r="K70" s="96">
        <f>IF(J70,E70,0)</f>
        <v>0</v>
      </c>
    </row>
    <row r="71" ht="14" customHeight="1">
      <c r="A71" s="177">
        <v>50</v>
      </c>
      <c r="B71" t="s" s="178">
        <v>66</v>
      </c>
      <c r="C71" t="s" s="178">
        <v>8</v>
      </c>
      <c r="D71" t="b" s="179">
        <v>1</v>
      </c>
      <c r="E71" s="180">
        <v>132752</v>
      </c>
      <c r="F71" s="180"/>
      <c r="G71" s="180">
        <f>E71-F71</f>
        <v>132752</v>
      </c>
      <c r="H71" s="180">
        <f>IF(D71,E71)</f>
        <v>132752</v>
      </c>
      <c r="I71" s="180">
        <f>IF(D71,0,E71)</f>
        <v>0</v>
      </c>
      <c r="J71" t="b" s="181">
        <v>1</v>
      </c>
      <c r="K71" s="182">
        <f>IF(J71,E71,0)</f>
        <v>132752</v>
      </c>
    </row>
    <row r="72" ht="14" customHeight="1">
      <c r="A72" s="112">
        <f>COUNTA($A67:$A71)</f>
        <v>5</v>
      </c>
      <c r="B72" t="s" s="183">
        <v>159</v>
      </c>
      <c r="C72" s="154"/>
      <c r="D72" s="156"/>
      <c r="E72" s="158">
        <f>SUM(E67:E71)</f>
        <v>914714</v>
      </c>
      <c r="F72" s="158">
        <f>SUM(F67:F71)</f>
        <v>546381</v>
      </c>
      <c r="G72" s="158">
        <f>SUM(G67:G71)</f>
        <v>368333</v>
      </c>
      <c r="H72" s="158">
        <f>SUM(H67:H71)</f>
        <v>539714</v>
      </c>
      <c r="I72" s="158">
        <f>SUM(I67:I71)</f>
        <v>375000</v>
      </c>
      <c r="J72" s="158"/>
      <c r="K72" s="184">
        <f>SUM(K67:K71)</f>
        <v>132752</v>
      </c>
    </row>
    <row r="73" ht="14" customHeight="1">
      <c r="A73" s="120"/>
      <c r="B73" s="122"/>
      <c r="C73" s="123"/>
      <c r="D73" s="124"/>
      <c r="E73" s="126"/>
      <c r="F73" s="126"/>
      <c r="G73" s="126"/>
      <c r="H73" s="126"/>
      <c r="I73" s="126"/>
      <c r="J73" s="122"/>
      <c r="K73" s="127"/>
    </row>
    <row r="74" ht="14" customHeight="1">
      <c r="A74" s="185">
        <v>48</v>
      </c>
      <c r="B74" t="s" s="162">
        <v>1014</v>
      </c>
      <c r="C74" t="s" s="162">
        <v>8</v>
      </c>
      <c r="D74" t="b" s="163">
        <v>1</v>
      </c>
      <c r="E74" s="165">
        <v>171934</v>
      </c>
      <c r="F74" s="165">
        <f>E74</f>
        <v>171934</v>
      </c>
      <c r="G74" s="165"/>
      <c r="H74" s="165">
        <f>IF(D74,E74)</f>
        <v>171934</v>
      </c>
      <c r="I74" s="165">
        <f>IF(D74,0,E74)</f>
        <v>0</v>
      </c>
      <c r="J74" t="b" s="166">
        <v>0</v>
      </c>
      <c r="K74" s="167">
        <f>IF(J74,E74,0)</f>
        <v>0</v>
      </c>
    </row>
    <row r="75" ht="14" customHeight="1">
      <c r="A75" s="176">
        <v>50</v>
      </c>
      <c r="B75" t="s" s="98">
        <v>66</v>
      </c>
      <c r="C75" t="s" s="98">
        <v>8</v>
      </c>
      <c r="D75" t="b" s="99">
        <v>1</v>
      </c>
      <c r="E75" s="101">
        <v>133180</v>
      </c>
      <c r="F75" s="101"/>
      <c r="G75" s="101">
        <f>E75-F75</f>
        <v>133180</v>
      </c>
      <c r="H75" s="101">
        <f>IF(D75,E75)</f>
        <v>133180</v>
      </c>
      <c r="I75" s="101">
        <f>IF(D75,0,E75)</f>
        <v>0</v>
      </c>
      <c r="J75" t="b" s="102">
        <v>1</v>
      </c>
      <c r="K75" s="103">
        <f>IF(J75,E75,0)</f>
        <v>133180</v>
      </c>
    </row>
    <row r="76" ht="14" customHeight="1">
      <c r="A76" s="176">
        <v>45</v>
      </c>
      <c r="B76" t="s" s="91">
        <v>22</v>
      </c>
      <c r="C76" t="s" s="91">
        <v>8</v>
      </c>
      <c r="D76" t="b" s="92">
        <v>1</v>
      </c>
      <c r="E76" s="94">
        <v>189946</v>
      </c>
      <c r="F76" s="94"/>
      <c r="G76" s="94">
        <f>E76-F76</f>
        <v>189946</v>
      </c>
      <c r="H76" s="94">
        <f>IF(D76,E76)</f>
        <v>189946</v>
      </c>
      <c r="I76" s="94">
        <f>IF(D76,0,E76)</f>
        <v>0</v>
      </c>
      <c r="J76" t="b" s="95">
        <v>0</v>
      </c>
      <c r="K76" s="96">
        <f>IF(J76,E76,0)</f>
        <v>0</v>
      </c>
    </row>
    <row r="77" ht="14" customHeight="1">
      <c r="A77" s="177">
        <v>47</v>
      </c>
      <c r="B77" t="s" s="178">
        <v>1023</v>
      </c>
      <c r="C77" t="s" s="178">
        <v>8</v>
      </c>
      <c r="D77" t="b" s="179">
        <v>1</v>
      </c>
      <c r="E77" s="180">
        <v>46395</v>
      </c>
      <c r="F77" s="180"/>
      <c r="G77" s="180">
        <f>E77-F77</f>
        <v>46395</v>
      </c>
      <c r="H77" s="180">
        <f>IF(D77,E77)</f>
        <v>46395</v>
      </c>
      <c r="I77" s="180">
        <f>IF(D77,0,E77)</f>
        <v>0</v>
      </c>
      <c r="J77" t="b" s="181">
        <v>0</v>
      </c>
      <c r="K77" s="182">
        <f>IF(J77,E77,0)</f>
        <v>0</v>
      </c>
    </row>
    <row r="78" ht="14" customHeight="1">
      <c r="A78" s="112">
        <f>COUNTA($A74:$A77)</f>
        <v>4</v>
      </c>
      <c r="B78" t="s" s="183">
        <v>180</v>
      </c>
      <c r="C78" s="154"/>
      <c r="D78" s="156"/>
      <c r="E78" s="158">
        <f>SUM(E74:E77)</f>
        <v>541455</v>
      </c>
      <c r="F78" s="158">
        <f>SUM(F74:F77)</f>
        <v>171934</v>
      </c>
      <c r="G78" s="158">
        <f>SUM(G74:G77)</f>
        <v>369521</v>
      </c>
      <c r="H78" s="158">
        <f>SUM(H74:H77)</f>
        <v>541455</v>
      </c>
      <c r="I78" s="158">
        <f>SUM(I74:I77)</f>
        <v>0</v>
      </c>
      <c r="J78" s="158"/>
      <c r="K78" s="184">
        <f>SUM(K74:K77)</f>
        <v>133180</v>
      </c>
    </row>
    <row r="79" ht="14" customHeight="1">
      <c r="A79" s="120"/>
      <c r="B79" s="122"/>
      <c r="C79" s="123"/>
      <c r="D79" s="124"/>
      <c r="E79" s="126"/>
      <c r="F79" s="126"/>
      <c r="G79" s="126"/>
      <c r="H79" s="126"/>
      <c r="I79" s="126"/>
      <c r="J79" s="122"/>
      <c r="K79" s="127"/>
    </row>
    <row r="80" ht="14" customHeight="1">
      <c r="A80" s="185">
        <v>48</v>
      </c>
      <c r="B80" t="s" s="162">
        <v>1014</v>
      </c>
      <c r="C80" t="s" s="162">
        <v>8</v>
      </c>
      <c r="D80" t="b" s="163">
        <v>1</v>
      </c>
      <c r="E80" s="165">
        <v>172363</v>
      </c>
      <c r="F80" s="165">
        <f>E80</f>
        <v>172363</v>
      </c>
      <c r="G80" s="165"/>
      <c r="H80" s="165">
        <f>IF(D80,E80)</f>
        <v>172363</v>
      </c>
      <c r="I80" s="165">
        <f>IF(D80,0,E80)</f>
        <v>0</v>
      </c>
      <c r="J80" t="b" s="166">
        <v>0</v>
      </c>
      <c r="K80" s="167">
        <f>IF(J80,E80,0)</f>
        <v>0</v>
      </c>
    </row>
    <row r="81" ht="14" customHeight="1">
      <c r="A81" s="176">
        <v>45</v>
      </c>
      <c r="B81" t="s" s="98">
        <v>22</v>
      </c>
      <c r="C81" t="s" s="98">
        <v>8</v>
      </c>
      <c r="D81" t="b" s="99">
        <v>1</v>
      </c>
      <c r="E81" s="101">
        <v>190421</v>
      </c>
      <c r="F81" s="101"/>
      <c r="G81" s="101">
        <f>E81-F81</f>
        <v>190421</v>
      </c>
      <c r="H81" s="101">
        <f>IF(D81,E81)</f>
        <v>190421</v>
      </c>
      <c r="I81" s="101">
        <f>IF(D81,0,E81)</f>
        <v>0</v>
      </c>
      <c r="J81" t="b" s="102">
        <v>0</v>
      </c>
      <c r="K81" s="103">
        <f>IF(J81,E81,0)</f>
        <v>0</v>
      </c>
    </row>
    <row r="82" ht="14" customHeight="1">
      <c r="A82" s="176">
        <v>47</v>
      </c>
      <c r="B82" t="s" s="91">
        <v>1023</v>
      </c>
      <c r="C82" t="s" s="91">
        <v>8</v>
      </c>
      <c r="D82" t="b" s="92">
        <v>1</v>
      </c>
      <c r="E82" s="94">
        <v>46511</v>
      </c>
      <c r="F82" s="94"/>
      <c r="G82" s="94">
        <f>E82-F82</f>
        <v>46511</v>
      </c>
      <c r="H82" s="94">
        <f>IF(D82,E82)</f>
        <v>46511</v>
      </c>
      <c r="I82" s="94">
        <f>IF(D82,0,E82)</f>
        <v>0</v>
      </c>
      <c r="J82" t="b" s="95">
        <v>0</v>
      </c>
      <c r="K82" s="96">
        <f>IF(J82,E82,0)</f>
        <v>0</v>
      </c>
    </row>
    <row r="83" ht="14" customHeight="1">
      <c r="A83" s="177">
        <v>50</v>
      </c>
      <c r="B83" t="s" s="178">
        <v>66</v>
      </c>
      <c r="C83" t="s" s="178">
        <v>8</v>
      </c>
      <c r="D83" t="b" s="179">
        <v>1</v>
      </c>
      <c r="E83" s="180">
        <v>133513</v>
      </c>
      <c r="F83" s="180"/>
      <c r="G83" s="180">
        <f>E83-F83</f>
        <v>133513</v>
      </c>
      <c r="H83" s="180">
        <f>IF(D83,E83)</f>
        <v>133513</v>
      </c>
      <c r="I83" s="180">
        <f>IF(D83,0,E83)</f>
        <v>0</v>
      </c>
      <c r="J83" t="b" s="181">
        <v>1</v>
      </c>
      <c r="K83" s="182">
        <f>IF(J83,E83,0)</f>
        <v>133513</v>
      </c>
    </row>
    <row r="84" ht="14" customHeight="1">
      <c r="A84" s="112">
        <f>COUNTA($A80:$A83)</f>
        <v>4</v>
      </c>
      <c r="B84" t="s" s="183">
        <v>197</v>
      </c>
      <c r="C84" s="154"/>
      <c r="D84" s="156"/>
      <c r="E84" s="158">
        <f>SUM(E80:E83)</f>
        <v>542808</v>
      </c>
      <c r="F84" s="158">
        <f>SUM(F80:F83)</f>
        <v>172363</v>
      </c>
      <c r="G84" s="158">
        <f>SUM(G80:G83)</f>
        <v>370445</v>
      </c>
      <c r="H84" s="158">
        <f>SUM(H80:H83)</f>
        <v>542808</v>
      </c>
      <c r="I84" s="158">
        <f>SUM(I80:I83)</f>
        <v>0</v>
      </c>
      <c r="J84" s="158"/>
      <c r="K84" s="184">
        <f>SUM(K80:K83)</f>
        <v>133513</v>
      </c>
    </row>
    <row r="85" ht="14" customHeight="1">
      <c r="A85" s="120"/>
      <c r="B85" s="122"/>
      <c r="C85" s="123"/>
      <c r="D85" s="124"/>
      <c r="E85" s="126"/>
      <c r="F85" s="126"/>
      <c r="G85" s="126"/>
      <c r="H85" s="126"/>
      <c r="I85" s="126"/>
      <c r="J85" s="122"/>
      <c r="K85" s="127"/>
    </row>
    <row r="86" ht="14" customHeight="1">
      <c r="A86" s="185">
        <v>38</v>
      </c>
      <c r="B86" t="s" s="162">
        <v>56</v>
      </c>
      <c r="C86" t="s" s="162">
        <v>1032</v>
      </c>
      <c r="D86" t="b" s="163">
        <v>0</v>
      </c>
      <c r="E86" s="165">
        <v>1966525</v>
      </c>
      <c r="F86" s="165">
        <f>E86</f>
        <v>1966525</v>
      </c>
      <c r="G86" s="165">
        <f>E86-F86</f>
        <v>0</v>
      </c>
      <c r="H86" s="165">
        <f>IF(D86,E86)</f>
        <v>0</v>
      </c>
      <c r="I86" s="165">
        <f>IF(D86,0,E86)</f>
        <v>1966525</v>
      </c>
      <c r="J86" t="b" s="166">
        <v>1</v>
      </c>
      <c r="K86" s="167">
        <f>IF(J86,E86,0)</f>
        <v>1966525</v>
      </c>
    </row>
    <row r="87" ht="14" customHeight="1">
      <c r="A87" s="176">
        <v>42</v>
      </c>
      <c r="B87" t="s" s="98">
        <v>1027</v>
      </c>
      <c r="C87" t="s" s="98">
        <v>8</v>
      </c>
      <c r="D87" t="b" s="99">
        <v>1</v>
      </c>
      <c r="E87" s="101">
        <v>37150</v>
      </c>
      <c r="F87" s="101"/>
      <c r="G87" s="101">
        <f>E87-F87</f>
        <v>37150</v>
      </c>
      <c r="H87" s="101">
        <f>IF(D87,E87)</f>
        <v>37150</v>
      </c>
      <c r="I87" s="101">
        <f>IF(D87,0,E87)</f>
        <v>0</v>
      </c>
      <c r="J87" t="b" s="102">
        <v>0</v>
      </c>
      <c r="K87" s="103">
        <f>IF(J87,E87,0)</f>
        <v>0</v>
      </c>
    </row>
    <row r="88" ht="14" customHeight="1">
      <c r="A88" s="176">
        <v>44</v>
      </c>
      <c r="B88" t="s" s="91">
        <v>1011</v>
      </c>
      <c r="C88" t="s" s="91">
        <v>8</v>
      </c>
      <c r="D88" t="b" s="92">
        <v>1</v>
      </c>
      <c r="E88" s="94">
        <v>37586</v>
      </c>
      <c r="F88" s="94"/>
      <c r="G88" s="94">
        <f>E88-F88</f>
        <v>37586</v>
      </c>
      <c r="H88" s="94">
        <f>IF(D88,E88)</f>
        <v>37586</v>
      </c>
      <c r="I88" s="94">
        <f>IF(D88,0,E88)</f>
        <v>0</v>
      </c>
      <c r="J88" t="b" s="95">
        <v>0</v>
      </c>
      <c r="K88" s="96">
        <f>IF(J88,E88,0)</f>
        <v>0</v>
      </c>
    </row>
    <row r="89" ht="14" customHeight="1">
      <c r="A89" s="176">
        <v>45</v>
      </c>
      <c r="B89" t="s" s="98">
        <v>22</v>
      </c>
      <c r="C89" t="s" s="98">
        <v>8</v>
      </c>
      <c r="D89" t="b" s="99">
        <v>1</v>
      </c>
      <c r="E89" s="101">
        <v>190946</v>
      </c>
      <c r="F89" s="101"/>
      <c r="G89" s="101">
        <f>E89-F89</f>
        <v>190946</v>
      </c>
      <c r="H89" s="101">
        <f>IF(D89,E89)</f>
        <v>190946</v>
      </c>
      <c r="I89" s="101">
        <f>IF(D89,0,E89)</f>
        <v>0</v>
      </c>
      <c r="J89" t="b" s="102">
        <v>0</v>
      </c>
      <c r="K89" s="103">
        <f>IF(J89,E89,0)</f>
        <v>0</v>
      </c>
    </row>
    <row r="90" ht="14" customHeight="1">
      <c r="A90" s="176">
        <v>47</v>
      </c>
      <c r="B90" t="s" s="91">
        <v>1023</v>
      </c>
      <c r="C90" t="s" s="91">
        <v>8</v>
      </c>
      <c r="D90" t="b" s="92">
        <v>1</v>
      </c>
      <c r="E90" s="94">
        <v>46639</v>
      </c>
      <c r="F90" s="94"/>
      <c r="G90" s="94">
        <f>E90-F90</f>
        <v>46639</v>
      </c>
      <c r="H90" s="94">
        <f>IF(D90,E90)</f>
        <v>46639</v>
      </c>
      <c r="I90" s="94">
        <f>IF(D90,0,E90)</f>
        <v>0</v>
      </c>
      <c r="J90" t="b" s="95">
        <v>0</v>
      </c>
      <c r="K90" s="96">
        <f>IF(J90,E90,0)</f>
        <v>0</v>
      </c>
    </row>
    <row r="91" ht="14" customHeight="1">
      <c r="A91" s="176">
        <v>48</v>
      </c>
      <c r="B91" t="s" s="98">
        <v>1014</v>
      </c>
      <c r="C91" t="s" s="98">
        <v>8</v>
      </c>
      <c r="D91" t="b" s="99">
        <v>1</v>
      </c>
      <c r="E91" s="101">
        <v>172839</v>
      </c>
      <c r="F91" s="101"/>
      <c r="G91" s="101">
        <f>E91-F91</f>
        <v>172839</v>
      </c>
      <c r="H91" s="101">
        <f>IF(D91,E91)</f>
        <v>172839</v>
      </c>
      <c r="I91" s="101">
        <f>IF(D91,0,E91)</f>
        <v>0</v>
      </c>
      <c r="J91" t="b" s="102">
        <v>0</v>
      </c>
      <c r="K91" s="103">
        <f>IF(J91,E91,0)</f>
        <v>0</v>
      </c>
    </row>
    <row r="92" ht="14" customHeight="1">
      <c r="A92" s="176">
        <v>49</v>
      </c>
      <c r="B92" t="s" s="91">
        <v>1013</v>
      </c>
      <c r="C92" t="s" s="91">
        <v>8</v>
      </c>
      <c r="D92" t="b" s="92">
        <v>1</v>
      </c>
      <c r="E92" s="94">
        <v>109739</v>
      </c>
      <c r="F92" s="94"/>
      <c r="G92" s="94">
        <f>E92-F92</f>
        <v>109739</v>
      </c>
      <c r="H92" s="94">
        <f>IF(D92,E92)</f>
        <v>109739</v>
      </c>
      <c r="I92" s="94">
        <f>IF(D92,0,E92)</f>
        <v>0</v>
      </c>
      <c r="J92" t="b" s="95">
        <v>1</v>
      </c>
      <c r="K92" s="96">
        <f>IF(J92,E92,0)</f>
        <v>109739</v>
      </c>
    </row>
    <row r="93" ht="14" customHeight="1">
      <c r="A93" s="176">
        <v>50</v>
      </c>
      <c r="B93" t="s" s="98">
        <v>66</v>
      </c>
      <c r="C93" t="s" s="98">
        <v>8</v>
      </c>
      <c r="D93" t="b" s="99">
        <v>1</v>
      </c>
      <c r="E93" s="101">
        <v>133882</v>
      </c>
      <c r="F93" s="101"/>
      <c r="G93" s="101">
        <f>E93-F93</f>
        <v>133882</v>
      </c>
      <c r="H93" s="101">
        <f>IF(D93,E93)</f>
        <v>133882</v>
      </c>
      <c r="I93" s="101">
        <f>IF(D93,0,E93)</f>
        <v>0</v>
      </c>
      <c r="J93" t="b" s="102">
        <v>0</v>
      </c>
      <c r="K93" s="103">
        <f>IF(J93,E93,0)</f>
        <v>0</v>
      </c>
    </row>
    <row r="94" ht="14" customHeight="1">
      <c r="A94" s="176">
        <v>40</v>
      </c>
      <c r="B94" t="s" s="91">
        <v>1035</v>
      </c>
      <c r="C94" t="s" s="91">
        <v>1036</v>
      </c>
      <c r="D94" t="b" s="92">
        <v>0</v>
      </c>
      <c r="E94" s="94">
        <v>150000</v>
      </c>
      <c r="F94" s="94"/>
      <c r="G94" s="94">
        <f>E94-F94</f>
        <v>150000</v>
      </c>
      <c r="H94" s="94">
        <f>IF(D94,E94)</f>
        <v>0</v>
      </c>
      <c r="I94" s="94">
        <f>IF(D94,0,E94)</f>
        <v>150000</v>
      </c>
      <c r="J94" t="b" s="95">
        <v>0</v>
      </c>
      <c r="K94" s="96">
        <f>IF(J94,E94,0)</f>
        <v>0</v>
      </c>
    </row>
    <row r="95" ht="14" customHeight="1">
      <c r="A95" s="176">
        <v>39</v>
      </c>
      <c r="B95" t="s" s="98">
        <v>1033</v>
      </c>
      <c r="C95" t="s" s="98">
        <v>1034</v>
      </c>
      <c r="D95" t="b" s="99">
        <v>0</v>
      </c>
      <c r="E95" s="101">
        <v>4963900</v>
      </c>
      <c r="F95" s="101"/>
      <c r="G95" s="101">
        <f>E95-F95</f>
        <v>4963900</v>
      </c>
      <c r="H95" s="101">
        <f>IF(D95,E95)</f>
        <v>0</v>
      </c>
      <c r="I95" s="101">
        <f>IF(D95,0,E95)</f>
        <v>4963900</v>
      </c>
      <c r="J95" t="b" s="102">
        <v>1</v>
      </c>
      <c r="K95" s="103">
        <f>IF(J95,E95,0)</f>
        <v>4963900</v>
      </c>
    </row>
    <row r="96" ht="14" customHeight="1">
      <c r="A96" s="176">
        <v>41</v>
      </c>
      <c r="B96" t="s" s="91">
        <v>22</v>
      </c>
      <c r="C96" t="s" s="91">
        <v>1037</v>
      </c>
      <c r="D96" t="b" s="92">
        <v>0</v>
      </c>
      <c r="E96" s="94">
        <v>60000</v>
      </c>
      <c r="F96" s="94"/>
      <c r="G96" s="94">
        <f>E96-F96</f>
        <v>60000</v>
      </c>
      <c r="H96" s="94">
        <f>IF(D96,E96)</f>
        <v>0</v>
      </c>
      <c r="I96" s="94">
        <f>IF(D96,0,E96)</f>
        <v>60000</v>
      </c>
      <c r="J96" t="b" s="95">
        <v>0</v>
      </c>
      <c r="K96" s="96">
        <f>IF(J96,E96,0)</f>
        <v>0</v>
      </c>
    </row>
    <row r="97" ht="14" customHeight="1">
      <c r="A97" s="176">
        <v>46</v>
      </c>
      <c r="B97" t="s" s="98">
        <v>1040</v>
      </c>
      <c r="C97" t="s" s="98">
        <v>1041</v>
      </c>
      <c r="D97" t="b" s="99">
        <v>0</v>
      </c>
      <c r="E97" s="101">
        <v>565000</v>
      </c>
      <c r="F97" s="101"/>
      <c r="G97" s="101">
        <f>E97-F97</f>
        <v>565000</v>
      </c>
      <c r="H97" s="101">
        <f>IF(D97,E97)</f>
        <v>0</v>
      </c>
      <c r="I97" s="101">
        <f>IF(D97,0,E97)</f>
        <v>565000</v>
      </c>
      <c r="J97" t="b" s="102">
        <v>0</v>
      </c>
      <c r="K97" s="103">
        <f>IF(J97,E97,0)</f>
        <v>0</v>
      </c>
    </row>
    <row r="98" ht="14" customHeight="1">
      <c r="A98" s="192"/>
      <c r="B98" t="s" s="91">
        <v>1045</v>
      </c>
      <c r="C98" t="s" s="91">
        <v>1046</v>
      </c>
      <c r="D98" t="b" s="92">
        <v>0</v>
      </c>
      <c r="E98" s="94">
        <f t="shared" si="376" ref="E98:E107">254362/1.19</f>
        <v>213749.5798319328</v>
      </c>
      <c r="F98" s="94"/>
      <c r="G98" s="94">
        <f>E98-F98</f>
        <v>213749.5798319328</v>
      </c>
      <c r="H98" s="94">
        <f>IF(D98,E98)</f>
        <v>0</v>
      </c>
      <c r="I98" s="94">
        <f>IF(D98,0,E98)</f>
        <v>213749.5798319328</v>
      </c>
      <c r="J98" t="b" s="95">
        <v>0</v>
      </c>
      <c r="K98" s="96">
        <f>IF(J98,E98,0)</f>
        <v>0</v>
      </c>
    </row>
    <row r="99" ht="14" customHeight="1">
      <c r="A99" s="192"/>
      <c r="B99" t="s" s="98">
        <v>1050</v>
      </c>
      <c r="C99" s="98"/>
      <c r="D99" t="b" s="99">
        <v>0</v>
      </c>
      <c r="E99" s="101">
        <v>160000</v>
      </c>
      <c r="F99" s="101"/>
      <c r="G99" s="101">
        <f>E99-F99</f>
        <v>160000</v>
      </c>
      <c r="H99" s="101">
        <f>IF(D99,E99)</f>
        <v>0</v>
      </c>
      <c r="I99" s="101">
        <f>IF(D99,0,E99)</f>
        <v>160000</v>
      </c>
      <c r="J99" t="b" s="102">
        <v>0</v>
      </c>
      <c r="K99" s="103">
        <f>IF(J99,E99,0)</f>
        <v>0</v>
      </c>
    </row>
    <row r="100" ht="14" customHeight="1">
      <c r="A100" s="193"/>
      <c r="B100" t="s" s="106">
        <v>1051</v>
      </c>
      <c r="C100" s="106"/>
      <c r="D100" t="b" s="107">
        <v>0</v>
      </c>
      <c r="E100" s="109">
        <v>60000</v>
      </c>
      <c r="F100" s="109"/>
      <c r="G100" s="109">
        <f>E100-F100</f>
        <v>60000</v>
      </c>
      <c r="H100" s="109">
        <f>IF(D100,E100)</f>
        <v>0</v>
      </c>
      <c r="I100" s="109">
        <f>IF(D100,0,E100)</f>
        <v>60000</v>
      </c>
      <c r="J100" t="b" s="110">
        <v>0</v>
      </c>
      <c r="K100" s="111">
        <f>IF(J100,E100,0)</f>
        <v>0</v>
      </c>
    </row>
    <row r="101" ht="14" customHeight="1">
      <c r="A101" s="129">
        <f>COUNTA(A86:A100)</f>
        <v>12</v>
      </c>
      <c r="B101" t="s" s="115">
        <v>211</v>
      </c>
      <c r="C101" s="115"/>
      <c r="D101" s="116"/>
      <c r="E101" s="118">
        <f>SUM(E86:E100)</f>
        <v>8867955.579831934</v>
      </c>
      <c r="F101" s="118">
        <f>SUM(F86:F100)</f>
        <v>1966525</v>
      </c>
      <c r="G101" s="118">
        <f>SUM(G86:G100)</f>
        <v>6901430.579831933</v>
      </c>
      <c r="H101" s="118">
        <f>SUM(H86:H100)</f>
        <v>728781</v>
      </c>
      <c r="I101" s="118">
        <f>SUM(I86:I100)</f>
        <v>8139174.579831933</v>
      </c>
      <c r="J101" s="118"/>
      <c r="K101" s="153">
        <f>SUM(K86:K100)</f>
        <v>7040164</v>
      </c>
    </row>
    <row r="102" ht="14" customHeight="1">
      <c r="A102" s="120"/>
      <c r="B102" s="122"/>
      <c r="C102" s="123"/>
      <c r="D102" s="124"/>
      <c r="E102" s="126"/>
      <c r="F102" s="126"/>
      <c r="G102" s="126"/>
      <c r="H102" s="126"/>
      <c r="I102" s="126"/>
      <c r="J102" s="122"/>
      <c r="K102" s="127"/>
    </row>
    <row r="103" ht="14" customHeight="1">
      <c r="A103" s="194"/>
      <c r="B103" t="s" s="83">
        <v>22</v>
      </c>
      <c r="C103" t="s" s="83">
        <v>8</v>
      </c>
      <c r="D103" t="b" s="84">
        <v>1</v>
      </c>
      <c r="E103" s="86">
        <v>190946</v>
      </c>
      <c r="F103" s="86"/>
      <c r="G103" s="86">
        <f>E103-F103</f>
        <v>190946</v>
      </c>
      <c r="H103" s="86">
        <f>IF(D103,E103)</f>
        <v>190946</v>
      </c>
      <c r="I103" s="86">
        <f>IF(D103,0,E103)</f>
        <v>0</v>
      </c>
      <c r="J103" t="b" s="87">
        <v>0</v>
      </c>
      <c r="K103" s="88">
        <f>IF(J103,E103,0)</f>
        <v>0</v>
      </c>
    </row>
    <row r="104" ht="14" customHeight="1">
      <c r="A104" s="192"/>
      <c r="B104" t="s" s="91">
        <v>1023</v>
      </c>
      <c r="C104" t="s" s="91">
        <v>8</v>
      </c>
      <c r="D104" t="b" s="92">
        <v>1</v>
      </c>
      <c r="E104" s="94">
        <v>46639</v>
      </c>
      <c r="F104" s="94"/>
      <c r="G104" s="94">
        <f>E104-F104</f>
        <v>46639</v>
      </c>
      <c r="H104" s="94">
        <f>IF(D104,E104)</f>
        <v>46639</v>
      </c>
      <c r="I104" s="94">
        <f>IF(D104,0,E104)</f>
        <v>0</v>
      </c>
      <c r="J104" t="b" s="95">
        <v>0</v>
      </c>
      <c r="K104" s="96">
        <f>IF(J104,E104,0)</f>
        <v>0</v>
      </c>
    </row>
    <row r="105" ht="14" customHeight="1">
      <c r="A105" s="192"/>
      <c r="B105" t="s" s="98">
        <v>1014</v>
      </c>
      <c r="C105" t="s" s="98">
        <v>8</v>
      </c>
      <c r="D105" t="b" s="99">
        <v>1</v>
      </c>
      <c r="E105" s="101">
        <v>172839</v>
      </c>
      <c r="F105" s="101"/>
      <c r="G105" s="101">
        <f>E105-F105</f>
        <v>172839</v>
      </c>
      <c r="H105" s="101">
        <f>IF(D105,E105)</f>
        <v>172839</v>
      </c>
      <c r="I105" s="101">
        <f>IF(D105,0,E105)</f>
        <v>0</v>
      </c>
      <c r="J105" t="b" s="102">
        <v>0</v>
      </c>
      <c r="K105" s="103">
        <f>IF(J105,E105,0)</f>
        <v>0</v>
      </c>
    </row>
    <row r="106" ht="14" customHeight="1">
      <c r="A106" s="192"/>
      <c r="B106" t="s" s="91">
        <v>66</v>
      </c>
      <c r="C106" t="s" s="91">
        <v>8</v>
      </c>
      <c r="D106" t="b" s="92">
        <v>1</v>
      </c>
      <c r="E106" s="94">
        <v>133882</v>
      </c>
      <c r="F106" s="94"/>
      <c r="G106" s="94">
        <f>E106-F106</f>
        <v>133882</v>
      </c>
      <c r="H106" s="94">
        <f>IF(D106,E106)</f>
        <v>133882</v>
      </c>
      <c r="I106" s="94">
        <f>IF(D106,0,E106)</f>
        <v>0</v>
      </c>
      <c r="J106" t="b" s="95">
        <v>0</v>
      </c>
      <c r="K106" s="96">
        <f>IF(J106,E106,0)</f>
        <v>0</v>
      </c>
    </row>
    <row r="107" ht="14" customHeight="1">
      <c r="A107" s="192"/>
      <c r="B107" t="s" s="98">
        <v>1045</v>
      </c>
      <c r="C107" t="s" s="98">
        <v>1052</v>
      </c>
      <c r="D107" t="b" s="99">
        <v>0</v>
      </c>
      <c r="E107" s="101">
        <f t="shared" si="376"/>
        <v>213749.5798319328</v>
      </c>
      <c r="F107" s="101"/>
      <c r="G107" s="101">
        <f>E107-F107</f>
        <v>213749.5798319328</v>
      </c>
      <c r="H107" s="101">
        <f>IF(D107,E107)</f>
        <v>0</v>
      </c>
      <c r="I107" s="101">
        <f>IF(D107,0,E107)</f>
        <v>213749.5798319328</v>
      </c>
      <c r="J107" t="b" s="102">
        <v>0</v>
      </c>
      <c r="K107" s="103">
        <f>IF(J107,E107,0)</f>
        <v>0</v>
      </c>
    </row>
    <row r="108" ht="14" customHeight="1">
      <c r="A108" s="192"/>
      <c r="B108" t="s" s="91">
        <v>1053</v>
      </c>
      <c r="C108" t="s" s="91">
        <v>1054</v>
      </c>
      <c r="D108" t="b" s="92">
        <v>0</v>
      </c>
      <c r="E108" s="94">
        <v>1100000</v>
      </c>
      <c r="F108" s="94"/>
      <c r="G108" s="94">
        <f>E108-F108</f>
        <v>1100000</v>
      </c>
      <c r="H108" s="94">
        <f>IF(D108,E108)</f>
        <v>0</v>
      </c>
      <c r="I108" s="94">
        <f>IF(D108,0,E108)</f>
        <v>1100000</v>
      </c>
      <c r="J108" t="b" s="95">
        <v>0</v>
      </c>
      <c r="K108" s="96">
        <f>IF(J108,E108,0)</f>
        <v>0</v>
      </c>
    </row>
    <row r="109" ht="14" customHeight="1">
      <c r="A109" s="192"/>
      <c r="B109" t="s" s="98">
        <v>1055</v>
      </c>
      <c r="C109" t="s" s="98">
        <v>1056</v>
      </c>
      <c r="D109" t="b" s="99">
        <v>0</v>
      </c>
      <c r="E109" s="101">
        <v>520000</v>
      </c>
      <c r="F109" s="101"/>
      <c r="G109" s="101">
        <f>E109-F109</f>
        <v>520000</v>
      </c>
      <c r="H109" s="101">
        <f>IF(D109,E109)</f>
        <v>0</v>
      </c>
      <c r="I109" s="101">
        <f>IF(D109,0,E109)</f>
        <v>520000</v>
      </c>
      <c r="J109" t="b" s="102">
        <v>0</v>
      </c>
      <c r="K109" s="103">
        <f>IF(J109,E109,0)</f>
        <v>0</v>
      </c>
    </row>
    <row r="110" ht="14" customHeight="1">
      <c r="A110" s="192"/>
      <c r="B110" t="s" s="91">
        <v>22</v>
      </c>
      <c r="C110" t="s" s="91">
        <v>1057</v>
      </c>
      <c r="D110" t="b" s="92">
        <v>0</v>
      </c>
      <c r="E110" s="94">
        <v>414500</v>
      </c>
      <c r="F110" s="94"/>
      <c r="G110" s="94">
        <f>E110-F110</f>
        <v>414500</v>
      </c>
      <c r="H110" s="94">
        <f>IF(D110,E110)</f>
        <v>0</v>
      </c>
      <c r="I110" s="94">
        <f>IF(D110,0,E110)</f>
        <v>414500</v>
      </c>
      <c r="J110" t="b" s="95">
        <v>0</v>
      </c>
      <c r="K110" s="96">
        <f>IF(J110,E110,0)</f>
        <v>0</v>
      </c>
    </row>
    <row r="111" ht="14" customHeight="1">
      <c r="A111" s="193"/>
      <c r="B111" t="s" s="178">
        <v>1058</v>
      </c>
      <c r="C111" t="s" s="178">
        <v>1059</v>
      </c>
      <c r="D111" t="b" s="179">
        <v>0</v>
      </c>
      <c r="E111" s="180"/>
      <c r="F111" s="180"/>
      <c r="G111" s="180">
        <f>E111-F111</f>
        <v>0</v>
      </c>
      <c r="H111" s="180">
        <f>IF(D111,E111)</f>
        <v>0</v>
      </c>
      <c r="I111" s="180">
        <f>IF(D111,0,E111)</f>
        <v>0</v>
      </c>
      <c r="J111" t="b" s="181">
        <v>0</v>
      </c>
      <c r="K111" s="182">
        <f>IF(J111,E111,0)</f>
        <v>0</v>
      </c>
    </row>
    <row r="112" ht="14" customHeight="1">
      <c r="A112" s="129">
        <f>COUNTA(A103:A111)</f>
        <v>0</v>
      </c>
      <c r="B112" t="s" s="154">
        <v>23</v>
      </c>
      <c r="C112" s="154"/>
      <c r="D112" s="156"/>
      <c r="E112" s="158">
        <f>SUM(E103:E111)</f>
        <v>2792555.579831933</v>
      </c>
      <c r="F112" s="158">
        <f>SUM(F103:F111)</f>
        <v>0</v>
      </c>
      <c r="G112" s="158">
        <f>SUM(G103:G111)</f>
        <v>2792555.579831933</v>
      </c>
      <c r="H112" s="158">
        <f>SUM(H103:H111)</f>
        <v>544306</v>
      </c>
      <c r="I112" s="158">
        <f>SUM(I103:I111)</f>
        <v>2248249.579831933</v>
      </c>
      <c r="J112" s="158"/>
      <c r="K112" s="184">
        <f>SUM(K103:K111)</f>
        <v>0</v>
      </c>
    </row>
    <row r="114" ht="25" customHeight="1">
      <c r="L114" t="s" s="174">
        <v>1060</v>
      </c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</row>
    <row r="115" ht="13.5" customHeight="1">
      <c r="L115" s="196"/>
      <c r="M115" t="s" s="78">
        <v>3</v>
      </c>
      <c r="N115" t="s" s="78">
        <v>4</v>
      </c>
      <c r="O115" t="s" s="78">
        <v>8</v>
      </c>
      <c r="P115" t="s" s="78">
        <v>7</v>
      </c>
      <c r="Q115" t="s" s="78">
        <v>1003</v>
      </c>
      <c r="R115" t="s" s="78">
        <v>1061</v>
      </c>
      <c r="S115" t="s" s="78">
        <v>1062</v>
      </c>
      <c r="T115" t="s" s="78">
        <v>1048</v>
      </c>
      <c r="U115" t="s" s="78">
        <v>1008</v>
      </c>
      <c r="V115" t="s" s="78">
        <v>1009</v>
      </c>
      <c r="W115" t="s" s="78">
        <v>1006</v>
      </c>
      <c r="X115" s="79"/>
    </row>
    <row r="116" ht="14" customHeight="1">
      <c r="L116" s="197"/>
      <c r="M116" t="s" s="175">
        <v>66</v>
      </c>
      <c r="N116" t="s" s="83">
        <v>8</v>
      </c>
      <c r="O116" t="b" s="84">
        <v>1</v>
      </c>
      <c r="P116" s="86">
        <v>129778</v>
      </c>
      <c r="Q116" s="86">
        <f>P116</f>
        <v>129778</v>
      </c>
      <c r="R116" s="86"/>
      <c r="S116" s="86"/>
      <c r="T116" s="86"/>
      <c r="U116" s="86">
        <f>IF(O116,P116)</f>
        <v>129778</v>
      </c>
      <c r="V116" s="86">
        <f>IF(O116,0,P116)</f>
        <v>0</v>
      </c>
      <c r="W116" t="b" s="87">
        <v>1</v>
      </c>
      <c r="X116" s="88">
        <f>IF(W116,P116,0)</f>
        <v>129778</v>
      </c>
    </row>
    <row r="117" ht="14" customHeight="1">
      <c r="L117" s="192"/>
      <c r="M117" t="s" s="91">
        <v>1025</v>
      </c>
      <c r="N117" t="s" s="91">
        <v>8</v>
      </c>
      <c r="O117" t="b" s="92">
        <v>1</v>
      </c>
      <c r="P117" s="94">
        <f t="shared" si="444" ref="P117:P139">73119/2</f>
        <v>36559.5</v>
      </c>
      <c r="Q117" s="94">
        <f>P117</f>
        <v>36559.5</v>
      </c>
      <c r="R117" s="94"/>
      <c r="S117" s="94"/>
      <c r="T117" s="94"/>
      <c r="U117" s="94">
        <f>IF(O117,P117)</f>
        <v>36559.5</v>
      </c>
      <c r="V117" s="94">
        <f>IF(O117,0,P117)</f>
        <v>0</v>
      </c>
      <c r="W117" t="b" s="95">
        <v>0</v>
      </c>
      <c r="X117" s="96">
        <f>IF(W117,P117,0)</f>
        <v>0</v>
      </c>
    </row>
    <row r="118" ht="14" customHeight="1">
      <c r="L118" s="193"/>
      <c r="M118" t="s" s="178">
        <v>1027</v>
      </c>
      <c r="N118" t="s" s="178">
        <v>8</v>
      </c>
      <c r="O118" t="b" s="179">
        <v>1</v>
      </c>
      <c r="P118" s="180">
        <f t="shared" si="444"/>
        <v>36559.5</v>
      </c>
      <c r="Q118" s="180">
        <f>P118</f>
        <v>36559.5</v>
      </c>
      <c r="R118" s="180"/>
      <c r="S118" s="180"/>
      <c r="T118" s="180"/>
      <c r="U118" s="180">
        <f>IF(O118,P118)</f>
        <v>36559.5</v>
      </c>
      <c r="V118" s="180">
        <f>IF(O118,0,P118)</f>
        <v>0</v>
      </c>
      <c r="W118" t="b" s="181">
        <v>0</v>
      </c>
      <c r="X118" s="182">
        <f>IF(W118,P118,0)</f>
        <v>0</v>
      </c>
    </row>
    <row r="119" ht="14" customHeight="1">
      <c r="L119" s="198"/>
      <c r="M119" s="159"/>
      <c r="N119" s="154"/>
      <c r="O119" s="156"/>
      <c r="P119" s="158">
        <f>SUM($P$115:P118)</f>
        <v>202897</v>
      </c>
      <c r="Q119" s="158">
        <f>SUM(Q115:Q118)</f>
        <v>202897</v>
      </c>
      <c r="R119" s="158">
        <f>SUM(R115:R118)</f>
        <v>0</v>
      </c>
      <c r="S119" s="158">
        <f>SUM(S115:S118)</f>
        <v>0</v>
      </c>
      <c r="T119" s="158">
        <f>SUM(T115:T118)</f>
        <v>0</v>
      </c>
      <c r="U119" s="158">
        <f>SUM($U$116:U118)</f>
        <v>202897</v>
      </c>
      <c r="V119" s="158">
        <f>SUM($V$116:V118)</f>
        <v>0</v>
      </c>
      <c r="W119" s="158"/>
      <c r="X119" s="184">
        <f>SUM(X116:X118)</f>
        <v>129778</v>
      </c>
    </row>
    <row r="120" ht="14" customHeight="1">
      <c r="L120" s="120"/>
      <c r="M120" s="122"/>
      <c r="N120" s="123"/>
      <c r="O120" s="124"/>
      <c r="P120" s="126"/>
      <c r="Q120" s="126"/>
      <c r="R120" s="126"/>
      <c r="S120" s="126"/>
      <c r="T120" s="126"/>
      <c r="U120" s="126"/>
      <c r="V120" s="126"/>
      <c r="W120" s="122"/>
      <c r="X120" s="127"/>
    </row>
    <row r="121" ht="14" customHeight="1">
      <c r="L121" s="194"/>
      <c r="M121" t="s" s="162">
        <v>632</v>
      </c>
      <c r="N121" t="s" s="162">
        <v>1010</v>
      </c>
      <c r="O121" t="b" s="163">
        <v>1</v>
      </c>
      <c r="P121" s="165">
        <v>112500</v>
      </c>
      <c r="Q121" s="165">
        <f>P121</f>
        <v>112500</v>
      </c>
      <c r="R121" s="165"/>
      <c r="S121" s="165"/>
      <c r="T121" s="165"/>
      <c r="U121" s="165">
        <f>IF(O121,P121)</f>
        <v>112500</v>
      </c>
      <c r="V121" s="165">
        <f>IF(O121,0,P121)</f>
        <v>0</v>
      </c>
      <c r="W121" t="b" s="166">
        <v>1</v>
      </c>
      <c r="X121" s="167">
        <f>IF(W121,P121,0)</f>
        <v>112500</v>
      </c>
    </row>
    <row r="122" ht="14" customHeight="1">
      <c r="L122" s="192"/>
      <c r="M122" t="s" s="98">
        <v>66</v>
      </c>
      <c r="N122" t="s" s="98">
        <v>8</v>
      </c>
      <c r="O122" t="b" s="99">
        <v>1</v>
      </c>
      <c r="P122" s="101">
        <v>129836</v>
      </c>
      <c r="Q122" s="101">
        <f>P122</f>
        <v>129836</v>
      </c>
      <c r="R122" s="101"/>
      <c r="S122" s="101"/>
      <c r="T122" s="101"/>
      <c r="U122" s="101">
        <f>IF(O122,P122)</f>
        <v>129836</v>
      </c>
      <c r="V122" s="101">
        <f>IF(O122,0,P122)</f>
        <v>0</v>
      </c>
      <c r="W122" t="b" s="102">
        <v>1</v>
      </c>
      <c r="X122" s="103">
        <f>IF(W122,P122,0)</f>
        <v>129836</v>
      </c>
    </row>
    <row r="123" ht="14" customHeight="1">
      <c r="L123" s="192"/>
      <c r="M123" t="s" s="91">
        <v>1013</v>
      </c>
      <c r="N123" t="s" s="91">
        <v>8</v>
      </c>
      <c r="O123" t="b" s="92">
        <v>1</v>
      </c>
      <c r="P123" s="94">
        <v>106903</v>
      </c>
      <c r="Q123" s="94">
        <f>P123</f>
        <v>106903</v>
      </c>
      <c r="R123" s="94"/>
      <c r="S123" s="94"/>
      <c r="T123" s="94"/>
      <c r="U123" s="94">
        <f>IF(O123,P123)</f>
        <v>106903</v>
      </c>
      <c r="V123" s="94">
        <f>IF(O123,0,P123)</f>
        <v>0</v>
      </c>
      <c r="W123" t="b" s="95">
        <v>1</v>
      </c>
      <c r="X123" s="96">
        <f>IF(W123,P123,0)</f>
        <v>106903</v>
      </c>
    </row>
    <row r="124" ht="14" customHeight="1">
      <c r="L124" s="192"/>
      <c r="M124" t="s" s="98">
        <v>1011</v>
      </c>
      <c r="N124" t="s" s="98">
        <v>1012</v>
      </c>
      <c r="O124" t="b" s="99">
        <v>0</v>
      </c>
      <c r="P124" s="101">
        <v>60000</v>
      </c>
      <c r="Q124" s="101">
        <f>P124</f>
        <v>60000</v>
      </c>
      <c r="R124" s="101"/>
      <c r="S124" s="101"/>
      <c r="T124" s="101"/>
      <c r="U124" s="101">
        <f>IF(O124,P124)</f>
        <v>0</v>
      </c>
      <c r="V124" s="101">
        <f>IF(O124,0,P124)</f>
        <v>60000</v>
      </c>
      <c r="W124" t="b" s="102">
        <v>1</v>
      </c>
      <c r="X124" s="103">
        <f>IF(W124,P124,0)</f>
        <v>60000</v>
      </c>
    </row>
    <row r="125" ht="14" customHeight="1">
      <c r="L125" s="193"/>
      <c r="M125" t="s" s="106">
        <v>1014</v>
      </c>
      <c r="N125" t="s" s="106">
        <v>1015</v>
      </c>
      <c r="O125" t="b" s="107">
        <v>0</v>
      </c>
      <c r="P125" s="109">
        <v>390000</v>
      </c>
      <c r="Q125" s="109">
        <f>P125</f>
        <v>390000</v>
      </c>
      <c r="R125" s="109"/>
      <c r="S125" s="109"/>
      <c r="T125" s="109"/>
      <c r="U125" s="109">
        <f>IF(O125,P125)</f>
        <v>0</v>
      </c>
      <c r="V125" s="109">
        <f>IF(O125,0,P125)</f>
        <v>390000</v>
      </c>
      <c r="W125" t="b" s="110">
        <v>1</v>
      </c>
      <c r="X125" s="111">
        <f>IF(W125,P125,0)</f>
        <v>390000</v>
      </c>
    </row>
    <row r="126" ht="14" customHeight="1">
      <c r="L126" s="198"/>
      <c r="M126" s="114"/>
      <c r="N126" s="115"/>
      <c r="O126" s="116"/>
      <c r="P126" s="118">
        <f>SUM($P$121:P125)</f>
        <v>799239</v>
      </c>
      <c r="Q126" s="118">
        <f>SUM(Q121:Q125)</f>
        <v>799239</v>
      </c>
      <c r="R126" s="118">
        <f>SUM(R121:R125)</f>
        <v>0</v>
      </c>
      <c r="S126" s="118">
        <f>SUM(S121:S125)</f>
        <v>0</v>
      </c>
      <c r="T126" s="118">
        <f>SUM(T121:T125)</f>
        <v>0</v>
      </c>
      <c r="U126" s="118">
        <f>SUM($U$121:U125)</f>
        <v>349239</v>
      </c>
      <c r="V126" s="118">
        <f>SUM($V$121:V125)</f>
        <v>450000</v>
      </c>
      <c r="W126" s="118"/>
      <c r="X126" s="153">
        <f>SUM(X121:X125)</f>
        <v>799239</v>
      </c>
    </row>
    <row r="127" ht="14" customHeight="1">
      <c r="L127" s="120"/>
      <c r="M127" s="122"/>
      <c r="N127" s="123"/>
      <c r="O127" s="124"/>
      <c r="P127" s="126"/>
      <c r="Q127" s="126"/>
      <c r="R127" s="126"/>
      <c r="S127" s="126"/>
      <c r="T127" s="126"/>
      <c r="U127" s="126"/>
      <c r="V127" s="126"/>
      <c r="W127" s="122"/>
      <c r="X127" s="127"/>
    </row>
    <row r="128" ht="14" customHeight="1">
      <c r="L128" s="194"/>
      <c r="M128" t="s" s="83">
        <v>632</v>
      </c>
      <c r="N128" t="s" s="83">
        <v>1016</v>
      </c>
      <c r="O128" t="b" s="84">
        <v>1</v>
      </c>
      <c r="P128" s="86">
        <v>146264</v>
      </c>
      <c r="Q128" s="86">
        <f>P128</f>
        <v>146264</v>
      </c>
      <c r="R128" s="86"/>
      <c r="S128" s="86"/>
      <c r="T128" s="86"/>
      <c r="U128" s="86">
        <f>IF(O128,P128)</f>
        <v>146264</v>
      </c>
      <c r="V128" s="86">
        <f>IF(O128,0,P128)</f>
        <v>0</v>
      </c>
      <c r="W128" t="b" s="87">
        <v>1</v>
      </c>
      <c r="X128" s="88">
        <f>IF(W128,P128,0)</f>
        <v>146264</v>
      </c>
    </row>
    <row r="129" ht="14" customHeight="1">
      <c r="L129" s="170"/>
      <c r="M129" t="s" s="186">
        <v>66</v>
      </c>
      <c r="N129" t="s" s="91">
        <v>8</v>
      </c>
      <c r="O129" t="b" s="92">
        <v>1</v>
      </c>
      <c r="P129" s="94">
        <v>130779</v>
      </c>
      <c r="Q129" s="94">
        <f>P129</f>
        <v>130779</v>
      </c>
      <c r="R129" s="94"/>
      <c r="S129" s="94"/>
      <c r="T129" s="94"/>
      <c r="U129" s="94">
        <f>IF(O129,P129)</f>
        <v>130779</v>
      </c>
      <c r="V129" s="94">
        <f>IF(O129,0,P129)</f>
        <v>0</v>
      </c>
      <c r="W129" t="b" s="95">
        <v>1</v>
      </c>
      <c r="X129" s="96">
        <f>IF(W129,P129,0)</f>
        <v>130779</v>
      </c>
    </row>
    <row r="130" ht="14" customHeight="1">
      <c r="L130" s="170"/>
      <c r="M130" t="s" s="168">
        <v>1014</v>
      </c>
      <c r="N130" t="s" s="98">
        <v>8</v>
      </c>
      <c r="O130" t="b" s="99">
        <v>1</v>
      </c>
      <c r="P130" s="101">
        <v>168708</v>
      </c>
      <c r="Q130" s="101">
        <f>P130</f>
        <v>168708</v>
      </c>
      <c r="R130" s="101"/>
      <c r="S130" s="101"/>
      <c r="T130" s="101"/>
      <c r="U130" s="101">
        <f>IF(O130,P130)</f>
        <v>168708</v>
      </c>
      <c r="V130" s="101">
        <f>IF(O130,0,P130)</f>
        <v>0</v>
      </c>
      <c r="W130" t="b" s="102">
        <v>1</v>
      </c>
      <c r="X130" s="103">
        <f>IF(W130,P130,0)</f>
        <v>168708</v>
      </c>
    </row>
    <row r="131" ht="14" customHeight="1">
      <c r="L131" s="192"/>
      <c r="M131" t="s" s="91">
        <v>1014</v>
      </c>
      <c r="N131" t="s" s="91">
        <v>1049</v>
      </c>
      <c r="O131" t="b" s="92">
        <v>0</v>
      </c>
      <c r="P131" s="94">
        <v>220000</v>
      </c>
      <c r="Q131" s="94">
        <f>P131</f>
        <v>220000</v>
      </c>
      <c r="R131" s="94"/>
      <c r="S131" s="94"/>
      <c r="T131" s="94"/>
      <c r="U131" s="94">
        <f>IF(O131,P131)</f>
        <v>0</v>
      </c>
      <c r="V131" s="94">
        <f>IF(O131,0,P131)</f>
        <v>220000</v>
      </c>
      <c r="W131" t="b" s="95">
        <v>1</v>
      </c>
      <c r="X131" s="96">
        <f>IF(W131,P131,0)</f>
        <v>220000</v>
      </c>
    </row>
    <row r="132" ht="14" customHeight="1">
      <c r="L132" s="170"/>
      <c r="M132" t="s" s="168">
        <v>1014</v>
      </c>
      <c r="N132" t="s" s="98">
        <v>1018</v>
      </c>
      <c r="O132" t="b" s="99">
        <v>0</v>
      </c>
      <c r="P132" s="101">
        <v>135000</v>
      </c>
      <c r="Q132" s="101">
        <f>P132</f>
        <v>135000</v>
      </c>
      <c r="R132" s="101"/>
      <c r="S132" s="101"/>
      <c r="T132" s="101"/>
      <c r="U132" s="101">
        <f>IF(O132,P132)</f>
        <v>0</v>
      </c>
      <c r="V132" s="101">
        <f>IF(O132,0,P132)</f>
        <v>135000</v>
      </c>
      <c r="W132" t="b" s="102">
        <v>1</v>
      </c>
      <c r="X132" s="103">
        <f>IF(W132,P132,0)</f>
        <v>135000</v>
      </c>
    </row>
    <row r="133" ht="14" customHeight="1">
      <c r="L133" s="172"/>
      <c r="M133" t="s" s="187">
        <v>1014</v>
      </c>
      <c r="N133" t="s" s="106">
        <v>1019</v>
      </c>
      <c r="O133" t="b" s="107">
        <v>0</v>
      </c>
      <c r="P133" s="109">
        <v>82000</v>
      </c>
      <c r="Q133" s="109">
        <f>P133</f>
        <v>82000</v>
      </c>
      <c r="R133" s="109"/>
      <c r="S133" s="109"/>
      <c r="T133" s="109"/>
      <c r="U133" s="109">
        <f>IF(O133,P133)</f>
        <v>0</v>
      </c>
      <c r="V133" s="109">
        <f>IF(O133,0,P133)</f>
        <v>82000</v>
      </c>
      <c r="W133" t="b" s="110">
        <v>1</v>
      </c>
      <c r="X133" s="111">
        <f>IF(W133,P133,0)</f>
        <v>82000</v>
      </c>
    </row>
    <row r="134" ht="14" customHeight="1">
      <c r="L134" s="199"/>
      <c r="M134" s="200"/>
      <c r="N134" s="115"/>
      <c r="O134" s="116"/>
      <c r="P134" s="118">
        <f>SUM($P$128:P133)</f>
        <v>882751</v>
      </c>
      <c r="Q134" s="118">
        <f>SUM(Q128:Q133)</f>
        <v>882751</v>
      </c>
      <c r="R134" s="118">
        <f>SUM(R128:R133)</f>
        <v>0</v>
      </c>
      <c r="S134" s="118">
        <f>SUM(S128:S133)</f>
        <v>0</v>
      </c>
      <c r="T134" s="118">
        <f>SUM(T128:T133)</f>
        <v>0</v>
      </c>
      <c r="U134" s="118">
        <f>SUM($U$128:U133)</f>
        <v>445751</v>
      </c>
      <c r="V134" s="119">
        <f>SUM($V$128:V133)</f>
        <v>437000</v>
      </c>
      <c r="W134" s="188"/>
      <c r="X134" s="153">
        <f>SUM(X128:X133)</f>
        <v>882751</v>
      </c>
    </row>
    <row r="135" ht="14" customHeight="1">
      <c r="L135" s="120"/>
      <c r="M135" s="122"/>
      <c r="N135" s="123"/>
      <c r="O135" s="124"/>
      <c r="P135" s="126"/>
      <c r="Q135" s="126"/>
      <c r="R135" s="126"/>
      <c r="S135" s="126"/>
      <c r="T135" s="126"/>
      <c r="U135" s="126"/>
      <c r="V135" s="126"/>
      <c r="W135" s="122"/>
      <c r="X135" s="127"/>
    </row>
    <row r="136" ht="14" customHeight="1">
      <c r="L136" s="194"/>
      <c r="M136" t="s" s="83">
        <v>1014</v>
      </c>
      <c r="N136" t="s" s="83">
        <v>8</v>
      </c>
      <c r="O136" t="b" s="84">
        <v>1</v>
      </c>
      <c r="P136" s="86">
        <v>169003</v>
      </c>
      <c r="Q136" s="86">
        <f>P136</f>
        <v>169003</v>
      </c>
      <c r="R136" s="86"/>
      <c r="S136" s="86"/>
      <c r="T136" s="86"/>
      <c r="U136" s="86">
        <f>IF(O136,P136)</f>
        <v>169003</v>
      </c>
      <c r="V136" s="86">
        <f>IF(O136,0,P136)</f>
        <v>0</v>
      </c>
      <c r="W136" t="b" s="87">
        <v>1</v>
      </c>
      <c r="X136" s="88">
        <f>IF(W136,P136,0)</f>
        <v>169003</v>
      </c>
    </row>
    <row r="137" ht="14" customHeight="1">
      <c r="L137" s="192"/>
      <c r="M137" t="s" s="91">
        <v>22</v>
      </c>
      <c r="N137" t="s" s="91">
        <v>8</v>
      </c>
      <c r="O137" t="b" s="92">
        <v>1</v>
      </c>
      <c r="P137" s="94">
        <v>186708</v>
      </c>
      <c r="Q137" s="94">
        <f>P137</f>
        <v>186708</v>
      </c>
      <c r="R137" s="94"/>
      <c r="S137" s="94"/>
      <c r="T137" s="171"/>
      <c r="U137" s="94">
        <f>IF(O137,P137)</f>
        <v>186708</v>
      </c>
      <c r="V137" s="94">
        <f>IF(O137,0,P137)</f>
        <v>0</v>
      </c>
      <c r="W137" t="b" s="95">
        <v>1</v>
      </c>
      <c r="X137" s="96">
        <f>IF(W137,P137,0)</f>
        <v>186708</v>
      </c>
    </row>
    <row r="138" ht="14" customHeight="1">
      <c r="L138" s="192"/>
      <c r="M138" t="s" s="98">
        <v>1025</v>
      </c>
      <c r="N138" t="s" s="98">
        <v>8</v>
      </c>
      <c r="O138" t="b" s="99">
        <v>1</v>
      </c>
      <c r="P138" s="101">
        <f t="shared" si="444"/>
        <v>36559.5</v>
      </c>
      <c r="Q138" s="101">
        <f>P138</f>
        <v>36559.5</v>
      </c>
      <c r="R138" s="101"/>
      <c r="S138" s="101"/>
      <c r="T138" s="101"/>
      <c r="U138" s="101">
        <f>IF(O138,P138)</f>
        <v>36559.5</v>
      </c>
      <c r="V138" s="101">
        <f>IF(O138,0,P138)</f>
        <v>0</v>
      </c>
      <c r="W138" t="b" s="102">
        <v>0</v>
      </c>
      <c r="X138" s="103">
        <f>IF(W138,P138,0)</f>
        <v>0</v>
      </c>
    </row>
    <row r="139" ht="14" customHeight="1">
      <c r="L139" s="192"/>
      <c r="M139" t="s" s="91">
        <v>1027</v>
      </c>
      <c r="N139" t="s" s="91">
        <v>8</v>
      </c>
      <c r="O139" t="b" s="92">
        <v>1</v>
      </c>
      <c r="P139" s="94">
        <f t="shared" si="444"/>
        <v>36559.5</v>
      </c>
      <c r="Q139" s="94">
        <f>P139</f>
        <v>36559.5</v>
      </c>
      <c r="R139" s="94"/>
      <c r="S139" s="94"/>
      <c r="T139" s="94"/>
      <c r="U139" s="94">
        <f>IF(O139,P139)</f>
        <v>36559.5</v>
      </c>
      <c r="V139" s="94">
        <f>IF(O139,0,P139)</f>
        <v>0</v>
      </c>
      <c r="W139" t="b" s="95">
        <v>0</v>
      </c>
      <c r="X139" s="96">
        <f>IF(W139,P139,0)</f>
        <v>0</v>
      </c>
    </row>
    <row r="140" ht="14" customHeight="1">
      <c r="L140" s="172"/>
      <c r="M140" t="s" s="189">
        <v>1011</v>
      </c>
      <c r="N140" t="s" s="178">
        <v>8</v>
      </c>
      <c r="O140" t="b" s="179">
        <v>1</v>
      </c>
      <c r="P140" s="180">
        <v>36751</v>
      </c>
      <c r="Q140" s="180">
        <f>P140</f>
        <v>36751</v>
      </c>
      <c r="R140" s="180"/>
      <c r="S140" s="180"/>
      <c r="T140" s="180"/>
      <c r="U140" s="180">
        <f>IF(O140,P140)</f>
        <v>36751</v>
      </c>
      <c r="V140" s="180">
        <f>IF(O140,0,P140)</f>
        <v>0</v>
      </c>
      <c r="W140" t="b" s="181">
        <v>0</v>
      </c>
      <c r="X140" s="182">
        <f>IF(W140,P140,0)</f>
        <v>0</v>
      </c>
    </row>
    <row r="141" ht="14" customHeight="1">
      <c r="L141" s="198"/>
      <c r="M141" s="159"/>
      <c r="N141" s="154"/>
      <c r="O141" s="156"/>
      <c r="P141" s="158">
        <f>SUM($P$136:P140)</f>
        <v>465581</v>
      </c>
      <c r="Q141" s="158">
        <f>SUM(Q136:Q140)</f>
        <v>465581</v>
      </c>
      <c r="R141" s="158">
        <f>SUM(R136:R140)</f>
        <v>0</v>
      </c>
      <c r="S141" s="158">
        <f>SUM(S136:S140)</f>
        <v>0</v>
      </c>
      <c r="T141" s="158">
        <f>SUM(T136:T140)</f>
        <v>0</v>
      </c>
      <c r="U141" s="158">
        <f>SUM($U$136:U140)</f>
        <v>465581</v>
      </c>
      <c r="V141" s="158">
        <f>SUM($V$136:V140)</f>
        <v>0</v>
      </c>
      <c r="W141" s="158"/>
      <c r="X141" s="184">
        <f>SUM(X136:X140)</f>
        <v>355711</v>
      </c>
    </row>
    <row r="142" ht="14" customHeight="1">
      <c r="L142" s="120"/>
      <c r="M142" s="122"/>
      <c r="N142" s="123"/>
      <c r="O142" s="124"/>
      <c r="P142" s="126"/>
      <c r="Q142" s="126"/>
      <c r="R142" s="126"/>
      <c r="S142" s="126"/>
      <c r="T142" s="126"/>
      <c r="U142" s="126"/>
      <c r="V142" s="126"/>
      <c r="W142" s="122"/>
      <c r="X142" s="127"/>
    </row>
    <row r="143" ht="14" customHeight="1">
      <c r="L143" s="194"/>
      <c r="M143" t="s" s="162">
        <v>1014</v>
      </c>
      <c r="N143" t="s" s="162">
        <v>8</v>
      </c>
      <c r="O143" t="b" s="163">
        <v>1</v>
      </c>
      <c r="P143" s="165">
        <v>169649</v>
      </c>
      <c r="Q143" s="165">
        <f>P143</f>
        <v>169649</v>
      </c>
      <c r="R143" s="165"/>
      <c r="S143" s="165"/>
      <c r="T143" s="165"/>
      <c r="U143" s="165">
        <f>IF(O143,P143)</f>
        <v>169649</v>
      </c>
      <c r="V143" s="165">
        <f>IF(O143,0,P143)</f>
        <v>0</v>
      </c>
      <c r="W143" t="b" s="166">
        <v>1</v>
      </c>
      <c r="X143" s="167">
        <f>IF(W143,P143,0)</f>
        <v>169649</v>
      </c>
    </row>
    <row r="144" ht="14" customHeight="1">
      <c r="L144" s="192"/>
      <c r="M144" t="s" s="98">
        <v>22</v>
      </c>
      <c r="N144" t="s" s="98">
        <v>8</v>
      </c>
      <c r="O144" t="b" s="99">
        <v>1</v>
      </c>
      <c r="P144" s="101">
        <v>186708</v>
      </c>
      <c r="Q144" s="101">
        <f>P144</f>
        <v>186708</v>
      </c>
      <c r="R144" s="101"/>
      <c r="S144" s="101"/>
      <c r="T144" s="169"/>
      <c r="U144" s="101">
        <f>IF(O144,P144)</f>
        <v>186708</v>
      </c>
      <c r="V144" s="101">
        <f>IF(O144,0,P144)</f>
        <v>0</v>
      </c>
      <c r="W144" t="b" s="102">
        <v>1</v>
      </c>
      <c r="X144" s="103">
        <f>IF(W144,P144,0)</f>
        <v>186708</v>
      </c>
    </row>
    <row r="145" ht="14" customHeight="1">
      <c r="L145" s="192"/>
      <c r="M145" t="s" s="91">
        <v>1013</v>
      </c>
      <c r="N145" t="s" s="91">
        <v>8</v>
      </c>
      <c r="O145" t="b" s="92">
        <v>1</v>
      </c>
      <c r="P145" s="94">
        <v>106903</v>
      </c>
      <c r="Q145" s="94">
        <f>P145</f>
        <v>106903</v>
      </c>
      <c r="R145" s="94"/>
      <c r="S145" s="94"/>
      <c r="T145" s="94"/>
      <c r="U145" s="94">
        <f>IF(O145,P145)</f>
        <v>106903</v>
      </c>
      <c r="V145" s="94">
        <f>IF(O145,0,P145)</f>
        <v>0</v>
      </c>
      <c r="W145" t="b" s="95">
        <v>1</v>
      </c>
      <c r="X145" s="96">
        <f>IF(W145,P145,0)</f>
        <v>106903</v>
      </c>
    </row>
    <row r="146" ht="14" customHeight="1">
      <c r="L146" s="193"/>
      <c r="M146" t="s" s="178">
        <v>1011</v>
      </c>
      <c r="N146" t="s" s="178">
        <v>1012</v>
      </c>
      <c r="O146" t="b" s="179">
        <v>0</v>
      </c>
      <c r="P146" s="180">
        <v>60000</v>
      </c>
      <c r="Q146" s="180">
        <f>P146</f>
        <v>60000</v>
      </c>
      <c r="R146" s="180"/>
      <c r="S146" s="180"/>
      <c r="T146" s="180"/>
      <c r="U146" s="180">
        <f>IF(O146,P146)</f>
        <v>0</v>
      </c>
      <c r="V146" s="180">
        <f>IF(O146,0,P146)</f>
        <v>60000</v>
      </c>
      <c r="W146" t="b" s="181">
        <v>1</v>
      </c>
      <c r="X146" s="182">
        <f>IF(W146,P146,0)</f>
        <v>60000</v>
      </c>
    </row>
    <row r="147" ht="14" customHeight="1">
      <c r="L147" s="199"/>
      <c r="M147" t="s" s="183">
        <v>70</v>
      </c>
      <c r="N147" s="154"/>
      <c r="O147" s="156"/>
      <c r="P147" s="158">
        <f>SUM($P$143:P146)</f>
        <v>523260</v>
      </c>
      <c r="Q147" s="158">
        <f>SUM(Q143:Q146)</f>
        <v>523260</v>
      </c>
      <c r="R147" s="158">
        <f>SUM(R143:R146)</f>
        <v>0</v>
      </c>
      <c r="S147" s="158">
        <f>SUM(S143:S146)</f>
        <v>0</v>
      </c>
      <c r="T147" s="158">
        <f>SUM(T143:T146)</f>
        <v>0</v>
      </c>
      <c r="U147" s="158">
        <f>SUM($U$143:U146)</f>
        <v>463260</v>
      </c>
      <c r="V147" s="158">
        <f>SUM($V$143:V146)</f>
        <v>60000</v>
      </c>
      <c r="W147" s="158"/>
      <c r="X147" s="184">
        <f>SUM(X143:X146)</f>
        <v>523260</v>
      </c>
    </row>
    <row r="148" ht="14" customHeight="1">
      <c r="L148" s="120"/>
      <c r="M148" s="122"/>
      <c r="N148" s="123"/>
      <c r="O148" s="124"/>
      <c r="P148" s="126"/>
      <c r="Q148" s="126"/>
      <c r="R148" s="126"/>
      <c r="S148" s="126"/>
      <c r="T148" s="126"/>
      <c r="U148" s="126"/>
      <c r="V148" s="126"/>
      <c r="W148" s="122"/>
      <c r="X148" s="127"/>
    </row>
    <row r="149" ht="14" customHeight="1">
      <c r="L149" s="194"/>
      <c r="M149" t="s" s="162">
        <v>632</v>
      </c>
      <c r="N149" t="s" s="162">
        <v>1010</v>
      </c>
      <c r="O149" t="b" s="163">
        <v>1</v>
      </c>
      <c r="P149" s="165">
        <v>112500</v>
      </c>
      <c r="Q149" s="165">
        <f>P149</f>
        <v>112500</v>
      </c>
      <c r="R149" s="165"/>
      <c r="S149" s="165"/>
      <c r="T149" s="165"/>
      <c r="U149" s="165">
        <f>IF(O149,P149)</f>
        <v>112500</v>
      </c>
      <c r="V149" s="165">
        <f>IF(O149,0,P149)</f>
        <v>0</v>
      </c>
      <c r="W149" t="b" s="166">
        <v>1</v>
      </c>
      <c r="X149" s="167">
        <f>IF(W149,P149,0)</f>
        <v>112500</v>
      </c>
    </row>
    <row r="150" ht="14" customHeight="1">
      <c r="L150" s="192"/>
      <c r="M150" t="s" s="98">
        <v>1014</v>
      </c>
      <c r="N150" t="s" s="98">
        <v>8</v>
      </c>
      <c r="O150" t="b" s="99">
        <v>1</v>
      </c>
      <c r="P150" s="101">
        <v>169891</v>
      </c>
      <c r="Q150" s="101">
        <f>P150</f>
        <v>169891</v>
      </c>
      <c r="R150" s="101"/>
      <c r="S150" s="101"/>
      <c r="T150" s="101"/>
      <c r="U150" s="101">
        <f>IF(O150,P150)</f>
        <v>169891</v>
      </c>
      <c r="V150" s="101">
        <f>IF(O150,0,P150)</f>
        <v>0</v>
      </c>
      <c r="W150" t="b" s="102">
        <v>1</v>
      </c>
      <c r="X150" s="103">
        <f>IF(W150,P150,0)</f>
        <v>169891</v>
      </c>
    </row>
    <row r="151" ht="14" customHeight="1">
      <c r="L151" s="192"/>
      <c r="M151" t="s" s="91">
        <v>22</v>
      </c>
      <c r="N151" t="s" s="91">
        <v>8</v>
      </c>
      <c r="O151" t="b" s="92">
        <v>1</v>
      </c>
      <c r="P151" s="94">
        <v>186708</v>
      </c>
      <c r="Q151" s="94">
        <f>P151</f>
        <v>186708</v>
      </c>
      <c r="R151" s="94"/>
      <c r="S151" s="94"/>
      <c r="T151" s="171"/>
      <c r="U151" s="94">
        <f>IF(O151,P151)</f>
        <v>186708</v>
      </c>
      <c r="V151" s="94">
        <f>IF(O151,0,P151)</f>
        <v>0</v>
      </c>
      <c r="W151" t="b" s="95">
        <v>1</v>
      </c>
      <c r="X151" s="96">
        <f>IF(W151,P151,0)</f>
        <v>186708</v>
      </c>
    </row>
    <row r="152" ht="14" customHeight="1">
      <c r="L152" s="192"/>
      <c r="M152" t="s" s="98">
        <v>1013</v>
      </c>
      <c r="N152" t="s" s="98">
        <v>8</v>
      </c>
      <c r="O152" t="b" s="99">
        <v>1</v>
      </c>
      <c r="P152" s="101">
        <v>106903</v>
      </c>
      <c r="Q152" s="101">
        <f>P152</f>
        <v>106903</v>
      </c>
      <c r="R152" s="101"/>
      <c r="S152" s="101"/>
      <c r="T152" s="101"/>
      <c r="U152" s="101">
        <f>IF(O152,P152)</f>
        <v>106903</v>
      </c>
      <c r="V152" s="101">
        <f>IF(O152,0,P152)</f>
        <v>0</v>
      </c>
      <c r="W152" t="b" s="102">
        <v>1</v>
      </c>
      <c r="X152" s="103">
        <f>IF(W152,P152,0)</f>
        <v>106903</v>
      </c>
    </row>
    <row r="153" ht="14" customHeight="1">
      <c r="L153" s="192"/>
      <c r="M153" t="s" s="91">
        <v>1011</v>
      </c>
      <c r="N153" t="s" s="91">
        <v>1012</v>
      </c>
      <c r="O153" t="b" s="92">
        <v>0</v>
      </c>
      <c r="P153" s="94">
        <v>60000</v>
      </c>
      <c r="Q153" s="94">
        <f>P153</f>
        <v>60000</v>
      </c>
      <c r="R153" s="94"/>
      <c r="S153" s="94"/>
      <c r="T153" s="94"/>
      <c r="U153" s="94">
        <f>IF(O153,P153)</f>
        <v>0</v>
      </c>
      <c r="V153" s="94">
        <f>IF(O153,0,P153)</f>
        <v>60000</v>
      </c>
      <c r="W153" t="b" s="95">
        <v>1</v>
      </c>
      <c r="X153" s="96">
        <f>IF(W153,P153,0)</f>
        <v>60000</v>
      </c>
    </row>
    <row r="154" ht="14" customHeight="1">
      <c r="L154" s="193"/>
      <c r="M154" t="s" s="178">
        <v>1014</v>
      </c>
      <c r="N154" t="s" s="178">
        <v>1015</v>
      </c>
      <c r="O154" t="b" s="179">
        <v>0</v>
      </c>
      <c r="P154" s="180">
        <v>390000</v>
      </c>
      <c r="Q154" s="180">
        <f>P154</f>
        <v>390000</v>
      </c>
      <c r="R154" s="180"/>
      <c r="S154" s="180"/>
      <c r="T154" s="180"/>
      <c r="U154" s="180">
        <f>IF(O154,P154)</f>
        <v>0</v>
      </c>
      <c r="V154" s="180">
        <f>IF(O154,0,P154)</f>
        <v>390000</v>
      </c>
      <c r="W154" t="b" s="181">
        <v>1</v>
      </c>
      <c r="X154" s="182">
        <f>IF(W154,P154,0)</f>
        <v>390000</v>
      </c>
    </row>
    <row r="155" ht="14" customHeight="1">
      <c r="L155" s="199"/>
      <c r="M155" t="s" s="183">
        <v>84</v>
      </c>
      <c r="N155" s="154"/>
      <c r="O155" s="156"/>
      <c r="P155" s="158">
        <f>SUM($P$149:P154)</f>
        <v>1026002</v>
      </c>
      <c r="Q155" s="158">
        <f>SUM(Q149:Q154)</f>
        <v>1026002</v>
      </c>
      <c r="R155" s="158">
        <f>SUM(R149:R154)</f>
        <v>0</v>
      </c>
      <c r="S155" s="158">
        <f>SUM(S149:S154)</f>
        <v>0</v>
      </c>
      <c r="T155" s="158">
        <f>SUM(T149:T154)</f>
        <v>0</v>
      </c>
      <c r="U155" s="158">
        <f>SUM($U$149:U154)</f>
        <v>576002</v>
      </c>
      <c r="V155" s="158">
        <f>SUM($V$149:V154)</f>
        <v>450000</v>
      </c>
      <c r="W155" s="158"/>
      <c r="X155" s="184">
        <f>SUM(X149:X154)</f>
        <v>1026002</v>
      </c>
    </row>
    <row r="156" ht="14" customHeight="1">
      <c r="L156" s="120"/>
      <c r="M156" s="122"/>
      <c r="N156" s="123"/>
      <c r="O156" s="124"/>
      <c r="P156" s="126"/>
      <c r="Q156" s="126"/>
      <c r="R156" s="126"/>
      <c r="S156" s="126"/>
      <c r="T156" s="126"/>
      <c r="U156" s="126"/>
      <c r="V156" s="126"/>
      <c r="W156" s="122"/>
      <c r="X156" s="127"/>
    </row>
    <row r="157" ht="14" customHeight="1">
      <c r="L157" s="194"/>
      <c r="M157" t="s" s="162">
        <v>1014</v>
      </c>
      <c r="N157" t="s" s="162">
        <v>8</v>
      </c>
      <c r="O157" t="b" s="163">
        <v>1</v>
      </c>
      <c r="P157" s="165">
        <v>170141</v>
      </c>
      <c r="Q157" s="165">
        <f>P157</f>
        <v>170141</v>
      </c>
      <c r="R157" s="165"/>
      <c r="S157" s="165"/>
      <c r="T157" s="165"/>
      <c r="U157" s="165">
        <f>IF(O157,P157)</f>
        <v>170141</v>
      </c>
      <c r="V157" s="165">
        <f>IF(O157,0,P157)</f>
        <v>0</v>
      </c>
      <c r="W157" t="b" s="166">
        <v>1</v>
      </c>
      <c r="X157" s="167">
        <f>IF(W157,P157,0)</f>
        <v>170141</v>
      </c>
    </row>
    <row r="158" ht="14" customHeight="1">
      <c r="L158" s="193"/>
      <c r="M158" t="s" s="178">
        <v>22</v>
      </c>
      <c r="N158" t="s" s="178">
        <v>8</v>
      </c>
      <c r="O158" t="b" s="179">
        <v>1</v>
      </c>
      <c r="P158" s="180">
        <v>186708</v>
      </c>
      <c r="Q158" s="180">
        <f>P158</f>
        <v>186708</v>
      </c>
      <c r="R158" s="180"/>
      <c r="S158" s="180"/>
      <c r="T158" s="190"/>
      <c r="U158" s="180">
        <f>IF(O158,P158)</f>
        <v>186708</v>
      </c>
      <c r="V158" s="180">
        <f>IF(O158,0,P158)</f>
        <v>0</v>
      </c>
      <c r="W158" t="b" s="181">
        <v>1</v>
      </c>
      <c r="X158" s="182">
        <f>IF(W158,P158,0)</f>
        <v>186708</v>
      </c>
    </row>
    <row r="159" ht="14" customHeight="1">
      <c r="L159" s="199"/>
      <c r="M159" t="s" s="183">
        <v>101</v>
      </c>
      <c r="N159" s="154"/>
      <c r="O159" s="156"/>
      <c r="P159" s="158">
        <f>SUM($P$157:P158)</f>
        <v>356849</v>
      </c>
      <c r="Q159" s="158">
        <f>SUM(Q157:Q158)</f>
        <v>356849</v>
      </c>
      <c r="R159" s="158">
        <f>SUM(R157:R158)</f>
        <v>0</v>
      </c>
      <c r="S159" s="158">
        <f>SUM(S157:S158)</f>
        <v>0</v>
      </c>
      <c r="T159" s="158">
        <f>SUM(T157:T158)</f>
        <v>0</v>
      </c>
      <c r="U159" s="158">
        <f>SUM($U$157:U158)</f>
        <v>356849</v>
      </c>
      <c r="V159" s="158">
        <f>SUM($V$157:V158)</f>
        <v>0</v>
      </c>
      <c r="W159" s="158"/>
      <c r="X159" s="184">
        <f>SUM(X157:X158)</f>
        <v>356849</v>
      </c>
    </row>
    <row r="160" ht="14" customHeight="1">
      <c r="L160" s="120"/>
      <c r="M160" s="122"/>
      <c r="N160" s="123"/>
      <c r="O160" s="124"/>
      <c r="P160" s="126"/>
      <c r="Q160" s="126"/>
      <c r="R160" s="126"/>
      <c r="S160" s="126"/>
      <c r="T160" s="126"/>
      <c r="U160" s="126"/>
      <c r="V160" s="126"/>
      <c r="W160" s="122"/>
      <c r="X160" s="127"/>
    </row>
    <row r="161" ht="14" customHeight="1">
      <c r="L161" s="194"/>
      <c r="M161" t="s" s="162">
        <v>1014</v>
      </c>
      <c r="N161" t="s" s="162">
        <v>1021</v>
      </c>
      <c r="O161" t="b" s="163">
        <v>0</v>
      </c>
      <c r="P161" s="165">
        <v>320000</v>
      </c>
      <c r="Q161" s="165">
        <f>P161</f>
        <v>320000</v>
      </c>
      <c r="R161" s="165"/>
      <c r="S161" s="165"/>
      <c r="T161" s="165"/>
      <c r="U161" s="165">
        <f>IF(O161,P161)</f>
        <v>0</v>
      </c>
      <c r="V161" s="165">
        <f>IF(O161,0,P161)</f>
        <v>320000</v>
      </c>
      <c r="W161" t="b" s="166">
        <v>1</v>
      </c>
      <c r="X161" s="167">
        <f>IF(W161,P161,0)</f>
        <v>320000</v>
      </c>
    </row>
    <row r="162" ht="14" customHeight="1">
      <c r="L162" s="170"/>
      <c r="M162" t="s" s="168">
        <v>22</v>
      </c>
      <c r="N162" t="s" s="98">
        <v>1022</v>
      </c>
      <c r="O162" t="b" s="99">
        <v>0</v>
      </c>
      <c r="P162" s="101">
        <v>210000</v>
      </c>
      <c r="Q162" s="101">
        <f>P162</f>
        <v>210000</v>
      </c>
      <c r="R162" s="101"/>
      <c r="S162" s="101"/>
      <c r="T162" s="101"/>
      <c r="U162" s="101">
        <f>IF(O162,P162)</f>
        <v>0</v>
      </c>
      <c r="V162" s="101">
        <f>IF(O162,0,P162)</f>
        <v>210000</v>
      </c>
      <c r="W162" t="b" s="102">
        <v>1</v>
      </c>
      <c r="X162" s="103">
        <f>IF(W162,P162,0)</f>
        <v>210000</v>
      </c>
    </row>
    <row r="163" ht="14" customHeight="1">
      <c r="L163" s="170"/>
      <c r="M163" t="s" s="186">
        <v>1014</v>
      </c>
      <c r="N163" t="s" s="91">
        <v>8</v>
      </c>
      <c r="O163" t="b" s="92">
        <v>1</v>
      </c>
      <c r="P163" s="94">
        <v>171083</v>
      </c>
      <c r="Q163" s="94">
        <f>P163</f>
        <v>171083</v>
      </c>
      <c r="R163" s="94"/>
      <c r="S163" s="94"/>
      <c r="T163" s="94"/>
      <c r="U163" s="94">
        <f>IF(O163,P163)</f>
        <v>171083</v>
      </c>
      <c r="V163" s="94">
        <f>IF(O163,0,P163)</f>
        <v>0</v>
      </c>
      <c r="W163" t="b" s="95">
        <v>1</v>
      </c>
      <c r="X163" s="96">
        <f>IF(W163,P163,0)</f>
        <v>171083</v>
      </c>
    </row>
    <row r="164" ht="14" customHeight="1">
      <c r="L164" s="170"/>
      <c r="M164" t="s" s="168">
        <v>22</v>
      </c>
      <c r="N164" t="s" s="98">
        <v>8</v>
      </c>
      <c r="O164" t="b" s="99">
        <v>1</v>
      </c>
      <c r="P164" s="101">
        <v>188483</v>
      </c>
      <c r="Q164" s="169"/>
      <c r="R164" s="169"/>
      <c r="S164" s="169"/>
      <c r="T164" s="101">
        <f>P164</f>
        <v>188483</v>
      </c>
      <c r="U164" s="101">
        <f>IF(O164,P164)</f>
        <v>188483</v>
      </c>
      <c r="V164" s="101">
        <f>IF(O164,0,P164)</f>
        <v>0</v>
      </c>
      <c r="W164" t="b" s="102">
        <v>1</v>
      </c>
      <c r="X164" s="103">
        <f>IF(W164,P164,0)</f>
        <v>188483</v>
      </c>
    </row>
    <row r="165" ht="14" customHeight="1">
      <c r="L165" s="170"/>
      <c r="M165" t="s" s="186">
        <v>1023</v>
      </c>
      <c r="N165" t="s" s="91">
        <v>8</v>
      </c>
      <c r="O165" t="b" s="92">
        <v>1</v>
      </c>
      <c r="P165" s="94">
        <v>46044</v>
      </c>
      <c r="Q165" s="94"/>
      <c r="R165" s="94"/>
      <c r="S165" s="94"/>
      <c r="T165" s="94">
        <f>P165</f>
        <v>46044</v>
      </c>
      <c r="U165" s="94">
        <f>IF(O165,P165)</f>
        <v>46044</v>
      </c>
      <c r="V165" s="94">
        <f>IF(O165,0,P165)</f>
        <v>0</v>
      </c>
      <c r="W165" t="b" s="95">
        <v>1</v>
      </c>
      <c r="X165" s="96">
        <f>IF(W165,P165,0)</f>
        <v>46044</v>
      </c>
    </row>
    <row r="166" ht="14" customHeight="1">
      <c r="L166" s="170"/>
      <c r="M166" t="s" s="168">
        <v>1011</v>
      </c>
      <c r="N166" t="s" s="98">
        <v>8</v>
      </c>
      <c r="O166" t="b" s="99">
        <v>1</v>
      </c>
      <c r="P166" s="101">
        <v>37101</v>
      </c>
      <c r="Q166" s="101"/>
      <c r="R166" s="101"/>
      <c r="S166" s="101"/>
      <c r="T166" s="101">
        <f>P166</f>
        <v>37101</v>
      </c>
      <c r="U166" s="101">
        <f>IF(O166,P166)</f>
        <v>37101</v>
      </c>
      <c r="V166" s="101">
        <f>IF(O166,0,P166)</f>
        <v>0</v>
      </c>
      <c r="W166" t="b" s="102">
        <v>0</v>
      </c>
      <c r="X166" s="103">
        <f>IF(W166,P166,0)</f>
        <v>0</v>
      </c>
    </row>
    <row r="167" ht="14" customHeight="1">
      <c r="L167" s="170"/>
      <c r="M167" t="s" s="186">
        <v>1027</v>
      </c>
      <c r="N167" t="s" s="91">
        <v>8</v>
      </c>
      <c r="O167" t="b" s="92">
        <v>1</v>
      </c>
      <c r="P167" s="94">
        <v>36559</v>
      </c>
      <c r="Q167" s="94"/>
      <c r="R167" s="94"/>
      <c r="S167" s="94"/>
      <c r="T167" s="94">
        <f>P167-Q167</f>
        <v>36559</v>
      </c>
      <c r="U167" s="94">
        <f>IF(O167,P167)</f>
        <v>36559</v>
      </c>
      <c r="V167" s="94">
        <f>IF(O167,0,P167)</f>
        <v>0</v>
      </c>
      <c r="W167" t="b" s="95">
        <v>0</v>
      </c>
      <c r="X167" s="96">
        <f>IF(W167,P167,0)</f>
        <v>0</v>
      </c>
    </row>
    <row r="168" ht="14" customHeight="1">
      <c r="L168" s="172"/>
      <c r="M168" t="s" s="189">
        <v>1025</v>
      </c>
      <c r="N168" t="s" s="178">
        <v>8</v>
      </c>
      <c r="O168" t="b" s="179">
        <v>1</v>
      </c>
      <c r="P168" s="180">
        <v>36559</v>
      </c>
      <c r="Q168" s="190"/>
      <c r="R168" s="190"/>
      <c r="S168" s="190"/>
      <c r="T168" s="180">
        <f>P168</f>
        <v>36559</v>
      </c>
      <c r="U168" s="180">
        <f>IF(O168,P168)</f>
        <v>36559</v>
      </c>
      <c r="V168" s="180">
        <f>IF(O168,0,P168)</f>
        <v>0</v>
      </c>
      <c r="W168" t="b" s="181">
        <v>0</v>
      </c>
      <c r="X168" s="182">
        <f>IF(W168,P168,0)</f>
        <v>0</v>
      </c>
    </row>
    <row r="169" ht="14" customHeight="1">
      <c r="L169" s="199"/>
      <c r="M169" t="s" s="183">
        <v>122</v>
      </c>
      <c r="N169" s="154"/>
      <c r="O169" s="156"/>
      <c r="P169" s="158">
        <f>SUM($P$161:P168)</f>
        <v>1045829</v>
      </c>
      <c r="Q169" s="158">
        <f>SUM(Q161:Q168)</f>
        <v>701083</v>
      </c>
      <c r="R169" s="158">
        <f>SUM(R161:R168)</f>
        <v>0</v>
      </c>
      <c r="S169" s="158">
        <f>SUM(S161:S168)</f>
        <v>0</v>
      </c>
      <c r="T169" s="158">
        <f>SUM(T161:T168)</f>
        <v>344746</v>
      </c>
      <c r="U169" s="158">
        <f>SUM($U$161:U168)</f>
        <v>515829</v>
      </c>
      <c r="V169" s="160">
        <f>SUM($V$161:V168)</f>
        <v>530000</v>
      </c>
      <c r="W169" s="191"/>
      <c r="X169" s="184">
        <f>SUM(X161:X168)</f>
        <v>935610</v>
      </c>
    </row>
    <row r="170" ht="14" customHeight="1">
      <c r="L170" s="120"/>
      <c r="M170" s="122"/>
      <c r="N170" s="123"/>
      <c r="O170" s="124"/>
      <c r="P170" s="126"/>
      <c r="Q170" s="126"/>
      <c r="R170" s="126"/>
      <c r="S170" s="126"/>
      <c r="T170" s="126"/>
      <c r="U170" s="126"/>
      <c r="V170" s="126"/>
      <c r="W170" s="122"/>
      <c r="X170" s="127"/>
    </row>
    <row r="171" ht="14" customHeight="1">
      <c r="L171" s="194"/>
      <c r="M171" t="s" s="162">
        <v>1023</v>
      </c>
      <c r="N171" t="s" s="162">
        <v>1028</v>
      </c>
      <c r="O171" t="b" s="163">
        <v>0</v>
      </c>
      <c r="P171" s="165">
        <v>40000</v>
      </c>
      <c r="Q171" s="165">
        <f>P171</f>
        <v>40000</v>
      </c>
      <c r="R171" s="165"/>
      <c r="S171" s="165"/>
      <c r="T171" s="165">
        <f>P171-Q171</f>
        <v>0</v>
      </c>
      <c r="U171" s="165">
        <f>IF(O171,P171)</f>
        <v>0</v>
      </c>
      <c r="V171" s="165">
        <f>IF(O171,0,P171)</f>
        <v>40000</v>
      </c>
      <c r="W171" t="b" s="166">
        <v>0</v>
      </c>
      <c r="X171" s="167">
        <f>IF(W171,P171,0)</f>
        <v>0</v>
      </c>
    </row>
    <row r="172" ht="14" customHeight="1">
      <c r="L172" s="170"/>
      <c r="M172" t="s" s="168">
        <v>632</v>
      </c>
      <c r="N172" t="s" s="98">
        <v>86</v>
      </c>
      <c r="O172" t="b" s="99">
        <v>0</v>
      </c>
      <c r="P172" s="101">
        <v>30000</v>
      </c>
      <c r="Q172" s="101">
        <f>P172</f>
        <v>30000</v>
      </c>
      <c r="R172" s="101"/>
      <c r="S172" s="101"/>
      <c r="T172" s="101">
        <f>P172-Q172</f>
        <v>0</v>
      </c>
      <c r="U172" s="101">
        <f>IF(O172,P172)</f>
        <v>0</v>
      </c>
      <c r="V172" s="101">
        <f>IF(O172,0,P172)</f>
        <v>30000</v>
      </c>
      <c r="W172" t="b" s="102">
        <v>1</v>
      </c>
      <c r="X172" s="103">
        <f>IF(W172,P172,0)</f>
        <v>30000</v>
      </c>
    </row>
    <row r="173" ht="14" customHeight="1">
      <c r="L173" s="192"/>
      <c r="M173" t="s" s="91">
        <v>1014</v>
      </c>
      <c r="N173" t="s" s="91">
        <v>8</v>
      </c>
      <c r="O173" t="b" s="92">
        <v>1</v>
      </c>
      <c r="P173" s="94">
        <v>171117</v>
      </c>
      <c r="Q173" s="94">
        <f>P173</f>
        <v>171117</v>
      </c>
      <c r="R173" s="94"/>
      <c r="S173" s="94"/>
      <c r="T173" s="171"/>
      <c r="U173" s="94">
        <f>IF(O173,P173)</f>
        <v>171117</v>
      </c>
      <c r="V173" s="94">
        <f>IF(O173,0,P173)</f>
        <v>0</v>
      </c>
      <c r="W173" t="b" s="95">
        <v>0</v>
      </c>
      <c r="X173" s="96">
        <f>IF(W173,P173,0)</f>
        <v>0</v>
      </c>
    </row>
    <row r="174" ht="14" customHeight="1">
      <c r="L174" s="170"/>
      <c r="M174" t="s" s="168">
        <v>66</v>
      </c>
      <c r="N174" t="s" s="98">
        <v>8</v>
      </c>
      <c r="O174" t="b" s="99">
        <v>1</v>
      </c>
      <c r="P174" s="101">
        <v>132548</v>
      </c>
      <c r="Q174" s="101"/>
      <c r="R174" s="101"/>
      <c r="S174" s="101"/>
      <c r="T174" s="101">
        <f>P174-Q174</f>
        <v>132548</v>
      </c>
      <c r="U174" s="101">
        <f>IF(O174,P174)</f>
        <v>132548</v>
      </c>
      <c r="V174" s="101">
        <f>IF(O174,0,P174)</f>
        <v>0</v>
      </c>
      <c r="W174" t="b" s="102">
        <v>1</v>
      </c>
      <c r="X174" s="103">
        <f>IF(W174,P174,0)</f>
        <v>132548</v>
      </c>
    </row>
    <row r="175" ht="14" customHeight="1">
      <c r="L175" s="192"/>
      <c r="M175" t="s" s="91">
        <v>22</v>
      </c>
      <c r="N175" t="s" s="91">
        <v>8</v>
      </c>
      <c r="O175" t="b" s="92">
        <v>1</v>
      </c>
      <c r="P175" s="94">
        <v>189044</v>
      </c>
      <c r="Q175" s="94"/>
      <c r="R175" s="94"/>
      <c r="S175" s="94"/>
      <c r="T175" s="94">
        <f>P175-Q175</f>
        <v>189044</v>
      </c>
      <c r="U175" s="94">
        <f>IF(O175,P175)</f>
        <v>189044</v>
      </c>
      <c r="V175" s="94">
        <f>IF(O175,0,P175)</f>
        <v>0</v>
      </c>
      <c r="W175" t="b" s="95">
        <v>0</v>
      </c>
      <c r="X175" s="96">
        <f>IF(W175,P175,0)</f>
        <v>0</v>
      </c>
    </row>
    <row r="176" ht="14" customHeight="1">
      <c r="L176" s="192"/>
      <c r="M176" t="s" s="98">
        <v>1023</v>
      </c>
      <c r="N176" t="s" s="98">
        <v>8</v>
      </c>
      <c r="O176" t="b" s="99">
        <v>1</v>
      </c>
      <c r="P176" s="101">
        <v>46044</v>
      </c>
      <c r="Q176" s="101"/>
      <c r="R176" s="101"/>
      <c r="S176" s="101"/>
      <c r="T176" s="101">
        <f>P176-Q176</f>
        <v>46044</v>
      </c>
      <c r="U176" s="101">
        <f>IF(O176,P176)</f>
        <v>46044</v>
      </c>
      <c r="V176" s="101">
        <f>IF(O176,0,P176)</f>
        <v>0</v>
      </c>
      <c r="W176" t="b" s="102">
        <v>0</v>
      </c>
      <c r="X176" s="103">
        <f>IF(W176,P176,0)</f>
        <v>0</v>
      </c>
    </row>
    <row r="177" ht="14" customHeight="1">
      <c r="L177" s="172"/>
      <c r="M177" t="s" s="187">
        <v>632</v>
      </c>
      <c r="N177" t="s" s="106">
        <v>1024</v>
      </c>
      <c r="O177" t="b" s="107">
        <v>0</v>
      </c>
      <c r="P177" s="109">
        <v>209143</v>
      </c>
      <c r="Q177" s="109"/>
      <c r="R177" s="109"/>
      <c r="S177" s="109"/>
      <c r="T177" s="109">
        <f>P177</f>
        <v>209143</v>
      </c>
      <c r="U177" s="109">
        <f>IF(O177,P177)</f>
        <v>0</v>
      </c>
      <c r="V177" s="109">
        <f>IF(O177,0,P177)</f>
        <v>209143</v>
      </c>
      <c r="W177" t="b" s="110">
        <v>1</v>
      </c>
      <c r="X177" s="111">
        <f>IF(W177,P177,0)</f>
        <v>209143</v>
      </c>
    </row>
    <row r="178" ht="14" customHeight="1">
      <c r="L178" s="198"/>
      <c r="M178" t="s" s="115">
        <v>140</v>
      </c>
      <c r="N178" s="115"/>
      <c r="O178" s="116"/>
      <c r="P178" s="118">
        <f>SUM($P$171:P177)</f>
        <v>817896</v>
      </c>
      <c r="Q178" s="118">
        <f>SUM(Q171:Q177)</f>
        <v>241117</v>
      </c>
      <c r="R178" s="118">
        <f>SUM(R171:R177)</f>
        <v>0</v>
      </c>
      <c r="S178" s="118">
        <f>SUM(S171:S177)</f>
        <v>0</v>
      </c>
      <c r="T178" s="118">
        <f>SUM(T171:T177)</f>
        <v>576779</v>
      </c>
      <c r="U178" s="118">
        <f>SUM($U$171:U177)</f>
        <v>538753</v>
      </c>
      <c r="V178" s="119">
        <f>SUM($V$171:V177)</f>
        <v>279143</v>
      </c>
      <c r="W178" s="188"/>
      <c r="X178" s="153">
        <f>SUM(X171:X177)</f>
        <v>371691</v>
      </c>
    </row>
    <row r="179" ht="14" customHeight="1">
      <c r="L179" s="120"/>
      <c r="M179" s="122"/>
      <c r="N179" s="123"/>
      <c r="O179" s="124"/>
      <c r="P179" s="126"/>
      <c r="Q179" s="126"/>
      <c r="R179" s="126"/>
      <c r="S179" s="126"/>
      <c r="T179" s="126"/>
      <c r="U179" s="126"/>
      <c r="V179" s="126"/>
      <c r="W179" s="122"/>
      <c r="X179" s="127"/>
    </row>
    <row r="180" ht="14" customHeight="1">
      <c r="L180" s="194"/>
      <c r="M180" t="s" s="83">
        <v>1014</v>
      </c>
      <c r="N180" t="s" s="83">
        <v>1031</v>
      </c>
      <c r="O180" t="b" s="84">
        <v>0</v>
      </c>
      <c r="P180" s="86">
        <v>375000</v>
      </c>
      <c r="Q180" s="86">
        <f>P180</f>
        <v>375000</v>
      </c>
      <c r="R180" s="86"/>
      <c r="S180" s="86"/>
      <c r="T180" s="86">
        <f>P180-Q180</f>
        <v>0</v>
      </c>
      <c r="U180" s="86">
        <f>IF(O180,P180)</f>
        <v>0</v>
      </c>
      <c r="V180" s="86">
        <f>IF(O180,0,P180)</f>
        <v>375000</v>
      </c>
      <c r="W180" t="b" s="87">
        <v>0</v>
      </c>
      <c r="X180" s="88">
        <f>IF(W180,P180,0)</f>
        <v>0</v>
      </c>
    </row>
    <row r="181" ht="14" customHeight="1">
      <c r="L181" s="192"/>
      <c r="M181" t="s" s="91">
        <v>1014</v>
      </c>
      <c r="N181" t="s" s="91">
        <v>8</v>
      </c>
      <c r="O181" t="b" s="92">
        <v>1</v>
      </c>
      <c r="P181" s="94">
        <v>171381</v>
      </c>
      <c r="Q181" s="94">
        <f>P181</f>
        <v>171381</v>
      </c>
      <c r="R181" s="94"/>
      <c r="S181" s="94"/>
      <c r="T181" s="171"/>
      <c r="U181" s="94">
        <f>IF(O181,P181)</f>
        <v>171381</v>
      </c>
      <c r="V181" s="94">
        <f>IF(O181,0,P181)</f>
        <v>0</v>
      </c>
      <c r="W181" t="b" s="95">
        <v>0</v>
      </c>
      <c r="X181" s="96">
        <f>IF(W181,P181,0)</f>
        <v>0</v>
      </c>
    </row>
    <row r="182" ht="14" customHeight="1">
      <c r="L182" s="192"/>
      <c r="M182" t="s" s="98">
        <v>22</v>
      </c>
      <c r="N182" t="s" s="98">
        <v>8</v>
      </c>
      <c r="O182" t="b" s="99">
        <v>1</v>
      </c>
      <c r="P182" s="101">
        <v>189335</v>
      </c>
      <c r="Q182" s="101"/>
      <c r="R182" s="101"/>
      <c r="S182" s="101"/>
      <c r="T182" s="101">
        <f>P182-Q182</f>
        <v>189335</v>
      </c>
      <c r="U182" s="101">
        <f>IF(O182,P182)</f>
        <v>189335</v>
      </c>
      <c r="V182" s="101">
        <f>IF(O182,0,P182)</f>
        <v>0</v>
      </c>
      <c r="W182" t="b" s="102">
        <v>0</v>
      </c>
      <c r="X182" s="103">
        <f>IF(W182,P182,0)</f>
        <v>0</v>
      </c>
    </row>
    <row r="183" ht="14" customHeight="1">
      <c r="L183" s="192"/>
      <c r="M183" t="s" s="91">
        <v>1023</v>
      </c>
      <c r="N183" t="s" s="91">
        <v>8</v>
      </c>
      <c r="O183" t="b" s="92">
        <v>1</v>
      </c>
      <c r="P183" s="94">
        <v>46246</v>
      </c>
      <c r="Q183" s="94"/>
      <c r="R183" s="94"/>
      <c r="S183" s="94"/>
      <c r="T183" s="94">
        <f>P183-Q183</f>
        <v>46246</v>
      </c>
      <c r="U183" s="94">
        <f>IF(O183,P183)</f>
        <v>46246</v>
      </c>
      <c r="V183" s="94">
        <f>IF(O183,0,P183)</f>
        <v>0</v>
      </c>
      <c r="W183" t="b" s="95">
        <v>0</v>
      </c>
      <c r="X183" s="96">
        <f>IF(W183,P183,0)</f>
        <v>0</v>
      </c>
    </row>
    <row r="184" ht="14" customHeight="1">
      <c r="L184" s="193"/>
      <c r="M184" t="s" s="178">
        <v>66</v>
      </c>
      <c r="N184" t="s" s="178">
        <v>8</v>
      </c>
      <c r="O184" t="b" s="179">
        <v>1</v>
      </c>
      <c r="P184" s="180">
        <v>132752</v>
      </c>
      <c r="Q184" s="180"/>
      <c r="R184" s="180"/>
      <c r="S184" s="180"/>
      <c r="T184" s="180">
        <f>P184-Q184</f>
        <v>132752</v>
      </c>
      <c r="U184" s="180">
        <f>IF(O184,P184)</f>
        <v>132752</v>
      </c>
      <c r="V184" s="180">
        <f>IF(O184,0,P184)</f>
        <v>0</v>
      </c>
      <c r="W184" t="b" s="181">
        <v>1</v>
      </c>
      <c r="X184" s="182">
        <f>IF(W184,P184,0)</f>
        <v>132752</v>
      </c>
    </row>
    <row r="185" ht="14" customHeight="1">
      <c r="L185" s="199"/>
      <c r="M185" t="s" s="183">
        <v>159</v>
      </c>
      <c r="N185" s="154"/>
      <c r="O185" s="156"/>
      <c r="P185" s="158">
        <f>SUM($P$180:P184)</f>
        <v>914714</v>
      </c>
      <c r="Q185" s="158">
        <f>SUM(Q180:Q184)</f>
        <v>546381</v>
      </c>
      <c r="R185" s="158">
        <f>SUM(R180:R184)</f>
        <v>0</v>
      </c>
      <c r="S185" s="158">
        <f>SUM(S180:S184)</f>
        <v>0</v>
      </c>
      <c r="T185" s="158">
        <f>SUM(T180:T184)</f>
        <v>368333</v>
      </c>
      <c r="U185" s="158">
        <f>SUM($U$180:U184)</f>
        <v>539714</v>
      </c>
      <c r="V185" s="158">
        <f>SUM($V$180:V184)</f>
        <v>375000</v>
      </c>
      <c r="W185" s="158"/>
      <c r="X185" s="184">
        <f>SUM(X180:X184)</f>
        <v>132752</v>
      </c>
    </row>
    <row r="186" ht="14" customHeight="1">
      <c r="L186" s="120"/>
      <c r="M186" s="122"/>
      <c r="N186" s="123"/>
      <c r="O186" s="124"/>
      <c r="P186" s="126"/>
      <c r="Q186" s="126"/>
      <c r="R186" s="126"/>
      <c r="S186" s="126"/>
      <c r="T186" s="126"/>
      <c r="U186" s="126"/>
      <c r="V186" s="126"/>
      <c r="W186" s="122"/>
      <c r="X186" s="127"/>
    </row>
    <row r="187" ht="14" customHeight="1">
      <c r="L187" s="194"/>
      <c r="M187" t="s" s="162">
        <v>1014</v>
      </c>
      <c r="N187" t="s" s="162">
        <v>8</v>
      </c>
      <c r="O187" t="b" s="163">
        <v>1</v>
      </c>
      <c r="P187" s="165">
        <v>171934</v>
      </c>
      <c r="Q187" s="165">
        <f>P187</f>
        <v>171934</v>
      </c>
      <c r="R187" s="165"/>
      <c r="S187" s="165"/>
      <c r="T187" s="165"/>
      <c r="U187" s="165">
        <f>IF(O187,P187)</f>
        <v>171934</v>
      </c>
      <c r="V187" s="165">
        <f>IF(O187,0,P187)</f>
        <v>0</v>
      </c>
      <c r="W187" t="b" s="166">
        <v>0</v>
      </c>
      <c r="X187" s="167">
        <f>IF(W187,P187,0)</f>
        <v>0</v>
      </c>
    </row>
    <row r="188" ht="14" customHeight="1">
      <c r="L188" s="192"/>
      <c r="M188" t="s" s="98">
        <v>66</v>
      </c>
      <c r="N188" t="s" s="98">
        <v>8</v>
      </c>
      <c r="O188" t="b" s="99">
        <v>1</v>
      </c>
      <c r="P188" s="101">
        <v>133180</v>
      </c>
      <c r="Q188" s="101"/>
      <c r="R188" s="101"/>
      <c r="S188" s="101"/>
      <c r="T188" s="101">
        <f>P188-Q188</f>
        <v>133180</v>
      </c>
      <c r="U188" s="101">
        <f>IF(O188,P188)</f>
        <v>133180</v>
      </c>
      <c r="V188" s="101">
        <f>IF(O188,0,P188)</f>
        <v>0</v>
      </c>
      <c r="W188" t="b" s="102">
        <v>1</v>
      </c>
      <c r="X188" s="103">
        <f>IF(W188,P188,0)</f>
        <v>133180</v>
      </c>
    </row>
    <row r="189" ht="14" customHeight="1">
      <c r="L189" s="192"/>
      <c r="M189" t="s" s="91">
        <v>22</v>
      </c>
      <c r="N189" t="s" s="91">
        <v>8</v>
      </c>
      <c r="O189" t="b" s="92">
        <v>1</v>
      </c>
      <c r="P189" s="94">
        <v>189946</v>
      </c>
      <c r="Q189" s="94"/>
      <c r="R189" s="94"/>
      <c r="S189" s="94"/>
      <c r="T189" s="94">
        <f>P189-Q189</f>
        <v>189946</v>
      </c>
      <c r="U189" s="94">
        <f>IF(O189,P189)</f>
        <v>189946</v>
      </c>
      <c r="V189" s="94">
        <f>IF(O189,0,P189)</f>
        <v>0</v>
      </c>
      <c r="W189" t="b" s="95">
        <v>0</v>
      </c>
      <c r="X189" s="96">
        <f>IF(W189,P189,0)</f>
        <v>0</v>
      </c>
    </row>
    <row r="190" ht="14" customHeight="1">
      <c r="L190" s="193"/>
      <c r="M190" t="s" s="178">
        <v>1023</v>
      </c>
      <c r="N190" t="s" s="178">
        <v>8</v>
      </c>
      <c r="O190" t="b" s="179">
        <v>1</v>
      </c>
      <c r="P190" s="180">
        <v>46395</v>
      </c>
      <c r="Q190" s="180"/>
      <c r="R190" s="180"/>
      <c r="S190" s="180"/>
      <c r="T190" s="180">
        <f>P190-Q190</f>
        <v>46395</v>
      </c>
      <c r="U190" s="180">
        <f>IF(O190,P190)</f>
        <v>46395</v>
      </c>
      <c r="V190" s="180">
        <f>IF(O190,0,P190)</f>
        <v>0</v>
      </c>
      <c r="W190" t="b" s="181">
        <v>0</v>
      </c>
      <c r="X190" s="182">
        <f>IF(W190,P190,0)</f>
        <v>0</v>
      </c>
    </row>
    <row r="191" ht="14" customHeight="1">
      <c r="L191" s="199"/>
      <c r="M191" t="s" s="183">
        <v>180</v>
      </c>
      <c r="N191" s="154"/>
      <c r="O191" s="156"/>
      <c r="P191" s="158">
        <f>SUM($P$187:P190)</f>
        <v>541455</v>
      </c>
      <c r="Q191" s="158">
        <f>SUM(Q187:Q190)</f>
        <v>171934</v>
      </c>
      <c r="R191" s="158">
        <f>SUM(R187:R190)</f>
        <v>0</v>
      </c>
      <c r="S191" s="158">
        <f>SUM(S187:S190)</f>
        <v>0</v>
      </c>
      <c r="T191" s="158">
        <f>SUM(T187:T190)</f>
        <v>369521</v>
      </c>
      <c r="U191" s="158">
        <f>SUM($U$187:U190)</f>
        <v>541455</v>
      </c>
      <c r="V191" s="158">
        <f>SUM($V$187:V190)</f>
        <v>0</v>
      </c>
      <c r="W191" s="158"/>
      <c r="X191" s="184">
        <f>SUM(X187:X190)</f>
        <v>133180</v>
      </c>
    </row>
    <row r="192" ht="14" customHeight="1">
      <c r="L192" s="120"/>
      <c r="M192" s="122"/>
      <c r="N192" s="123"/>
      <c r="O192" s="124"/>
      <c r="P192" s="126"/>
      <c r="Q192" s="126"/>
      <c r="R192" s="126"/>
      <c r="S192" s="126"/>
      <c r="T192" s="126"/>
      <c r="U192" s="126"/>
      <c r="V192" s="126"/>
      <c r="W192" s="122"/>
      <c r="X192" s="127"/>
    </row>
    <row r="193" ht="14" customHeight="1">
      <c r="L193" s="194"/>
      <c r="M193" t="s" s="162">
        <v>1014</v>
      </c>
      <c r="N193" t="s" s="162">
        <v>8</v>
      </c>
      <c r="O193" t="b" s="163">
        <v>1</v>
      </c>
      <c r="P193" s="165">
        <v>172363</v>
      </c>
      <c r="Q193" s="165">
        <f>P193</f>
        <v>172363</v>
      </c>
      <c r="R193" s="165"/>
      <c r="S193" s="165"/>
      <c r="T193" s="165"/>
      <c r="U193" s="165">
        <f>IF(O193,P193)</f>
        <v>172363</v>
      </c>
      <c r="V193" s="165">
        <f>IF(O193,0,P193)</f>
        <v>0</v>
      </c>
      <c r="W193" t="b" s="166">
        <v>0</v>
      </c>
      <c r="X193" s="167">
        <f>IF(W193,P193,0)</f>
        <v>0</v>
      </c>
    </row>
    <row r="194" ht="14" customHeight="1">
      <c r="L194" s="192"/>
      <c r="M194" t="s" s="98">
        <v>22</v>
      </c>
      <c r="N194" t="s" s="98">
        <v>8</v>
      </c>
      <c r="O194" t="b" s="99">
        <v>1</v>
      </c>
      <c r="P194" s="101">
        <v>190421</v>
      </c>
      <c r="Q194" s="101"/>
      <c r="R194" s="101"/>
      <c r="S194" s="101"/>
      <c r="T194" s="101">
        <f>P194-Q194</f>
        <v>190421</v>
      </c>
      <c r="U194" s="101">
        <f>IF(O194,P194)</f>
        <v>190421</v>
      </c>
      <c r="V194" s="101">
        <f>IF(O194,0,P194)</f>
        <v>0</v>
      </c>
      <c r="W194" t="b" s="102">
        <v>0</v>
      </c>
      <c r="X194" s="103">
        <f>IF(W194,P194,0)</f>
        <v>0</v>
      </c>
    </row>
    <row r="195" ht="14" customHeight="1">
      <c r="L195" s="192"/>
      <c r="M195" t="s" s="91">
        <v>1023</v>
      </c>
      <c r="N195" t="s" s="91">
        <v>8</v>
      </c>
      <c r="O195" t="b" s="92">
        <v>1</v>
      </c>
      <c r="P195" s="94">
        <v>46511</v>
      </c>
      <c r="Q195" s="94"/>
      <c r="R195" s="94"/>
      <c r="S195" s="94"/>
      <c r="T195" s="94">
        <f>P195-Q195</f>
        <v>46511</v>
      </c>
      <c r="U195" s="94">
        <f>IF(O195,P195)</f>
        <v>46511</v>
      </c>
      <c r="V195" s="94">
        <f>IF(O195,0,P195)</f>
        <v>0</v>
      </c>
      <c r="W195" t="b" s="95">
        <v>0</v>
      </c>
      <c r="X195" s="96">
        <f>IF(W195,P195,0)</f>
        <v>0</v>
      </c>
    </row>
    <row r="196" ht="14" customHeight="1">
      <c r="L196" s="193"/>
      <c r="M196" t="s" s="178">
        <v>66</v>
      </c>
      <c r="N196" t="s" s="178">
        <v>8</v>
      </c>
      <c r="O196" t="b" s="179">
        <v>1</v>
      </c>
      <c r="P196" s="180">
        <v>133513</v>
      </c>
      <c r="Q196" s="180"/>
      <c r="R196" s="180"/>
      <c r="S196" s="180"/>
      <c r="T196" s="180">
        <f>P196-Q196</f>
        <v>133513</v>
      </c>
      <c r="U196" s="180">
        <f>IF(O196,P196)</f>
        <v>133513</v>
      </c>
      <c r="V196" s="180">
        <f>IF(O196,0,P196)</f>
        <v>0</v>
      </c>
      <c r="W196" t="b" s="181">
        <v>1</v>
      </c>
      <c r="X196" s="182">
        <f>IF(W196,P196,0)</f>
        <v>133513</v>
      </c>
    </row>
    <row r="197" ht="14" customHeight="1">
      <c r="L197" s="199"/>
      <c r="M197" t="s" s="183">
        <v>197</v>
      </c>
      <c r="N197" s="154"/>
      <c r="O197" s="156"/>
      <c r="P197" s="158">
        <f>SUM($P$193:P196)</f>
        <v>542808</v>
      </c>
      <c r="Q197" s="158">
        <f>SUM(Q193:Q196)</f>
        <v>172363</v>
      </c>
      <c r="R197" s="158">
        <f>SUM(R193:R196)</f>
        <v>0</v>
      </c>
      <c r="S197" s="158">
        <f>SUM(S193:S196)</f>
        <v>0</v>
      </c>
      <c r="T197" s="158">
        <f>SUM(T193:T196)</f>
        <v>370445</v>
      </c>
      <c r="U197" s="158">
        <f>SUM($U$193:U196)</f>
        <v>542808</v>
      </c>
      <c r="V197" s="158">
        <f>SUM($V$193:V196)</f>
        <v>0</v>
      </c>
      <c r="W197" s="158"/>
      <c r="X197" s="184">
        <f>SUM(X193:X196)</f>
        <v>133513</v>
      </c>
    </row>
    <row r="198" ht="14" customHeight="1">
      <c r="L198" s="120"/>
      <c r="M198" s="122"/>
      <c r="N198" s="123"/>
      <c r="O198" s="124"/>
      <c r="P198" s="126"/>
      <c r="Q198" s="126"/>
      <c r="R198" s="126"/>
      <c r="S198" s="126"/>
      <c r="T198" s="126"/>
      <c r="U198" s="126"/>
      <c r="V198" s="126"/>
      <c r="W198" s="122"/>
      <c r="X198" s="127"/>
    </row>
    <row r="199" ht="14" customHeight="1">
      <c r="L199" s="194"/>
      <c r="M199" t="s" s="162">
        <v>1063</v>
      </c>
      <c r="N199" s="162"/>
      <c r="O199" t="b" s="163">
        <v>1</v>
      </c>
      <c r="P199" s="165">
        <f>SUM(Q199:T199)</f>
        <v>1140306</v>
      </c>
      <c r="Q199" s="165"/>
      <c r="R199" s="165"/>
      <c r="S199" s="165"/>
      <c r="T199" s="165">
        <v>1140306</v>
      </c>
      <c r="U199" s="165">
        <f>IF(O199,Q199)</f>
        <v>0</v>
      </c>
      <c r="V199" s="165">
        <f>IF(O199,0,Q199)</f>
        <v>0</v>
      </c>
      <c r="W199" t="b" s="166">
        <v>1</v>
      </c>
      <c r="X199" s="167">
        <f>IF(W199,Q199,0)</f>
        <v>0</v>
      </c>
    </row>
    <row r="200" ht="14" customHeight="1">
      <c r="L200" s="192"/>
      <c r="M200" t="s" s="98">
        <v>1064</v>
      </c>
      <c r="N200" s="98"/>
      <c r="O200" t="b" s="99">
        <v>1</v>
      </c>
      <c r="P200" s="101">
        <f>SUM(Q200:T200)</f>
        <v>15000</v>
      </c>
      <c r="Q200" s="101">
        <v>15000</v>
      </c>
      <c r="R200" s="101"/>
      <c r="S200" s="101"/>
      <c r="T200" s="101">
        <f>Q200-Q200</f>
        <v>0</v>
      </c>
      <c r="U200" s="101">
        <f>IF(O200,Q200)</f>
        <v>15000</v>
      </c>
      <c r="V200" s="101">
        <f>IF(O200,0,Q200)</f>
        <v>0</v>
      </c>
      <c r="W200" t="b" s="102">
        <v>0</v>
      </c>
      <c r="X200" s="103">
        <f>IF(W200,Q200,0)</f>
        <v>0</v>
      </c>
    </row>
    <row r="201" ht="14" customHeight="1">
      <c r="L201" s="192"/>
      <c r="M201" t="s" s="91">
        <v>1065</v>
      </c>
      <c r="N201" s="91"/>
      <c r="O201" t="b" s="92">
        <v>1</v>
      </c>
      <c r="P201" s="94">
        <f>SUM(Q201:T201)</f>
        <v>0</v>
      </c>
      <c r="Q201" s="94"/>
      <c r="R201" s="94"/>
      <c r="S201" s="94"/>
      <c r="T201" s="94">
        <f>Q201-Q201</f>
        <v>0</v>
      </c>
      <c r="U201" s="94">
        <f>IF(O201,Q201)</f>
        <v>0</v>
      </c>
      <c r="V201" s="94">
        <f>IF(O201,0,Q201)</f>
        <v>0</v>
      </c>
      <c r="W201" t="b" s="95">
        <v>0</v>
      </c>
      <c r="X201" s="96">
        <f>IF(W201,Q201,0)</f>
        <v>0</v>
      </c>
    </row>
    <row r="202" ht="14" customHeight="1">
      <c r="L202" s="192"/>
      <c r="M202" t="s" s="98">
        <v>1066</v>
      </c>
      <c r="N202" s="98"/>
      <c r="O202" t="b" s="99">
        <v>1</v>
      </c>
      <c r="P202" s="101">
        <f>SUM(Q202:T202)</f>
        <v>0</v>
      </c>
      <c r="Q202" s="101"/>
      <c r="R202" s="101"/>
      <c r="S202" s="101"/>
      <c r="T202" s="101">
        <f>Q202-Q202</f>
        <v>0</v>
      </c>
      <c r="U202" s="101">
        <f>IF(O202,Q202)</f>
        <v>0</v>
      </c>
      <c r="V202" s="101">
        <f>IF(O202,0,Q202)</f>
        <v>0</v>
      </c>
      <c r="W202" t="b" s="102">
        <v>0</v>
      </c>
      <c r="X202" s="103">
        <f>IF(W202,Q202,0)</f>
        <v>0</v>
      </c>
    </row>
    <row r="203" ht="14" customHeight="1">
      <c r="L203" s="192"/>
      <c r="M203" t="s" s="91">
        <v>1027</v>
      </c>
      <c r="N203" t="s" s="91">
        <v>8</v>
      </c>
      <c r="O203" t="b" s="92">
        <v>1</v>
      </c>
      <c r="P203" s="94">
        <f>SUM(Q203:T203)</f>
        <v>0</v>
      </c>
      <c r="Q203" s="94"/>
      <c r="R203" s="94"/>
      <c r="S203" s="94"/>
      <c r="T203" s="94">
        <f>Q203-Q203</f>
        <v>0</v>
      </c>
      <c r="U203" s="94">
        <f>IF(O203,Q203)</f>
        <v>0</v>
      </c>
      <c r="V203" s="94">
        <f>IF(O203,0,Q203)</f>
        <v>0</v>
      </c>
      <c r="W203" t="b" s="95">
        <v>0</v>
      </c>
      <c r="X203" s="96">
        <f>IF(W203,Q203,0)</f>
        <v>0</v>
      </c>
    </row>
    <row r="204" ht="14" customHeight="1">
      <c r="L204" s="192"/>
      <c r="M204" t="s" s="98">
        <v>1011</v>
      </c>
      <c r="N204" t="s" s="98">
        <v>8</v>
      </c>
      <c r="O204" t="b" s="99">
        <v>1</v>
      </c>
      <c r="P204" s="101">
        <f>SUM(Q204:T204)</f>
        <v>0</v>
      </c>
      <c r="Q204" s="101"/>
      <c r="R204" s="101"/>
      <c r="S204" s="101"/>
      <c r="T204" s="101">
        <f>Q204-Q204</f>
        <v>0</v>
      </c>
      <c r="U204" s="101">
        <f>IF(O204,Q204)</f>
        <v>0</v>
      </c>
      <c r="V204" s="101">
        <f>IF(O204,0,Q204)</f>
        <v>0</v>
      </c>
      <c r="W204" t="b" s="102">
        <v>0</v>
      </c>
      <c r="X204" s="103">
        <f>IF(W204,Q204,0)</f>
        <v>0</v>
      </c>
    </row>
    <row r="205" ht="14" customHeight="1">
      <c r="L205" s="192"/>
      <c r="M205" t="s" s="91">
        <v>22</v>
      </c>
      <c r="N205" t="s" s="91">
        <v>8</v>
      </c>
      <c r="O205" t="b" s="92">
        <v>1</v>
      </c>
      <c r="P205" s="94">
        <f>SUM(Q205:T205)</f>
        <v>0</v>
      </c>
      <c r="Q205" s="94"/>
      <c r="R205" s="94"/>
      <c r="S205" s="94"/>
      <c r="T205" s="94">
        <f>Q205-Q205</f>
        <v>0</v>
      </c>
      <c r="U205" s="94">
        <f>IF(O205,Q205)</f>
        <v>0</v>
      </c>
      <c r="V205" s="94">
        <f>IF(O205,0,Q205)</f>
        <v>0</v>
      </c>
      <c r="W205" t="b" s="95">
        <v>0</v>
      </c>
      <c r="X205" s="96">
        <f>IF(W205,Q205,0)</f>
        <v>0</v>
      </c>
    </row>
    <row r="206" ht="14" customHeight="1">
      <c r="L206" s="192"/>
      <c r="M206" t="s" s="98">
        <v>1023</v>
      </c>
      <c r="N206" t="s" s="98">
        <v>8</v>
      </c>
      <c r="O206" t="b" s="99">
        <v>1</v>
      </c>
      <c r="P206" s="101">
        <f>SUM(Q206:T206)</f>
        <v>0</v>
      </c>
      <c r="Q206" s="101"/>
      <c r="R206" s="101"/>
      <c r="S206" s="101"/>
      <c r="T206" s="101">
        <f>Q206-Q206</f>
        <v>0</v>
      </c>
      <c r="U206" s="101">
        <f>IF(O206,Q206)</f>
        <v>0</v>
      </c>
      <c r="V206" s="101">
        <f>IF(O206,0,Q206)</f>
        <v>0</v>
      </c>
      <c r="W206" t="b" s="102">
        <v>0</v>
      </c>
      <c r="X206" s="103">
        <f>IF(W206,Q206,0)</f>
        <v>0</v>
      </c>
    </row>
    <row r="207" ht="14" customHeight="1">
      <c r="L207" s="192"/>
      <c r="M207" t="s" s="91">
        <v>1014</v>
      </c>
      <c r="N207" t="s" s="91">
        <v>8</v>
      </c>
      <c r="O207" t="b" s="92">
        <v>1</v>
      </c>
      <c r="P207" s="94">
        <f>SUM(Q207:T207)</f>
        <v>0</v>
      </c>
      <c r="Q207" s="94"/>
      <c r="R207" s="94"/>
      <c r="S207" s="94"/>
      <c r="T207" s="94">
        <f>Q207-Q207</f>
        <v>0</v>
      </c>
      <c r="U207" s="94">
        <f>IF(O207,Q207)</f>
        <v>0</v>
      </c>
      <c r="V207" s="94">
        <f>IF(O207,0,Q207)</f>
        <v>0</v>
      </c>
      <c r="W207" t="b" s="95">
        <v>0</v>
      </c>
      <c r="X207" s="96">
        <f>IF(W207,Q207,0)</f>
        <v>0</v>
      </c>
    </row>
    <row r="208" ht="14" customHeight="1">
      <c r="L208" s="192"/>
      <c r="M208" t="s" s="98">
        <v>1013</v>
      </c>
      <c r="N208" t="s" s="98">
        <v>8</v>
      </c>
      <c r="O208" t="b" s="99">
        <v>1</v>
      </c>
      <c r="P208" s="101">
        <f>SUM(Q208:T208)</f>
        <v>0</v>
      </c>
      <c r="Q208" s="101"/>
      <c r="R208" s="101"/>
      <c r="S208" s="101"/>
      <c r="T208" s="101">
        <f>Q208-Q208</f>
        <v>0</v>
      </c>
      <c r="U208" s="101">
        <f>IF(O208,Q208)</f>
        <v>0</v>
      </c>
      <c r="V208" s="101">
        <f>IF(O208,0,Q208)</f>
        <v>0</v>
      </c>
      <c r="W208" t="b" s="102">
        <v>1</v>
      </c>
      <c r="X208" s="103">
        <f>IF(W208,Q208,0)</f>
        <v>0</v>
      </c>
    </row>
    <row r="209" ht="14" customHeight="1">
      <c r="L209" s="192"/>
      <c r="M209" t="s" s="91">
        <v>66</v>
      </c>
      <c r="N209" t="s" s="91">
        <v>8</v>
      </c>
      <c r="O209" t="b" s="92">
        <v>1</v>
      </c>
      <c r="P209" s="94">
        <f>SUM(Q209:T209)</f>
        <v>0</v>
      </c>
      <c r="Q209" s="94"/>
      <c r="R209" s="94"/>
      <c r="S209" s="94"/>
      <c r="T209" s="94">
        <f>Q209-Q209</f>
        <v>0</v>
      </c>
      <c r="U209" s="94">
        <f>IF(O209,Q209)</f>
        <v>0</v>
      </c>
      <c r="V209" s="94">
        <f>IF(O209,0,Q209)</f>
        <v>0</v>
      </c>
      <c r="W209" t="b" s="95">
        <v>0</v>
      </c>
      <c r="X209" s="96">
        <f>IF(W209,Q209,0)</f>
        <v>0</v>
      </c>
    </row>
    <row r="210" ht="14" customHeight="1">
      <c r="L210" s="192"/>
      <c r="M210" t="s" s="98">
        <v>1035</v>
      </c>
      <c r="N210" t="s" s="98">
        <v>1036</v>
      </c>
      <c r="O210" t="b" s="99">
        <v>0</v>
      </c>
      <c r="P210" s="101">
        <f>SUM(Q210:T210)</f>
        <v>0</v>
      </c>
      <c r="Q210" s="101"/>
      <c r="R210" s="101"/>
      <c r="S210" s="101"/>
      <c r="T210" s="101">
        <f>Q210-Q210</f>
        <v>0</v>
      </c>
      <c r="U210" s="101">
        <f>IF(O210,Q210)</f>
        <v>0</v>
      </c>
      <c r="V210" s="101">
        <f>IF(O210,0,Q210)</f>
        <v>0</v>
      </c>
      <c r="W210" t="b" s="102">
        <v>0</v>
      </c>
      <c r="X210" s="103">
        <f>IF(W210,Q210,0)</f>
        <v>0</v>
      </c>
    </row>
    <row r="211" ht="14" customHeight="1">
      <c r="L211" s="192"/>
      <c r="M211" t="s" s="91">
        <v>1033</v>
      </c>
      <c r="N211" t="s" s="91">
        <v>1034</v>
      </c>
      <c r="O211" t="b" s="92">
        <v>0</v>
      </c>
      <c r="P211" s="94">
        <f>SUM(Q211:T211)</f>
        <v>3418748</v>
      </c>
      <c r="Q211" s="94">
        <f>135420+15120+12688+73610+30238+2676672+450000</f>
        <v>3393748</v>
      </c>
      <c r="R211" s="94"/>
      <c r="S211" s="94"/>
      <c r="T211" s="94">
        <v>25000</v>
      </c>
      <c r="U211" s="94">
        <f>IF(O211,Q211)</f>
        <v>0</v>
      </c>
      <c r="V211" s="94">
        <f>IF(O211,0,Q211)</f>
        <v>3393748</v>
      </c>
      <c r="W211" t="b" s="95">
        <v>1</v>
      </c>
      <c r="X211" s="96">
        <f>IF(W211,Q211,0)</f>
        <v>3393748</v>
      </c>
    </row>
    <row r="212" ht="14" customHeight="1">
      <c r="L212" s="192"/>
      <c r="M212" t="s" s="98">
        <v>22</v>
      </c>
      <c r="N212" t="s" s="98">
        <v>1037</v>
      </c>
      <c r="O212" t="b" s="99">
        <v>0</v>
      </c>
      <c r="P212" s="101">
        <f>SUM(Q212:T212)</f>
        <v>5000</v>
      </c>
      <c r="Q212" s="101">
        <v>5000</v>
      </c>
      <c r="R212" s="101"/>
      <c r="S212" s="101"/>
      <c r="T212" s="101">
        <f>Q212-Q212</f>
        <v>0</v>
      </c>
      <c r="U212" s="101">
        <f>IF(O212,Q212)</f>
        <v>0</v>
      </c>
      <c r="V212" s="101">
        <f>IF(O212,0,Q212)</f>
        <v>5000</v>
      </c>
      <c r="W212" t="b" s="102">
        <v>0</v>
      </c>
      <c r="X212" s="103">
        <f>IF(W212,Q212,0)</f>
        <v>0</v>
      </c>
    </row>
    <row r="213" ht="14" customHeight="1">
      <c r="L213" s="192"/>
      <c r="M213" t="s" s="91">
        <v>1040</v>
      </c>
      <c r="N213" t="s" s="91">
        <v>1041</v>
      </c>
      <c r="O213" t="b" s="92">
        <v>0</v>
      </c>
      <c r="P213" s="94">
        <f>SUM(Q213:T213)</f>
        <v>40000</v>
      </c>
      <c r="Q213" s="94">
        <f>40000</f>
        <v>40000</v>
      </c>
      <c r="R213" s="94"/>
      <c r="S213" s="94"/>
      <c r="T213" s="94">
        <f>Q213-Q213</f>
        <v>0</v>
      </c>
      <c r="U213" s="94">
        <f>IF(O213,Q213)</f>
        <v>0</v>
      </c>
      <c r="V213" s="94">
        <f>IF(O213,0,Q213)</f>
        <v>40000</v>
      </c>
      <c r="W213" t="b" s="95">
        <v>0</v>
      </c>
      <c r="X213" s="96">
        <f>IF(W213,Q213,0)</f>
        <v>0</v>
      </c>
    </row>
    <row r="214" ht="14" customHeight="1">
      <c r="L214" s="192"/>
      <c r="M214" t="s" s="98">
        <v>1045</v>
      </c>
      <c r="N214" t="s" s="98">
        <v>1046</v>
      </c>
      <c r="O214" t="b" s="99">
        <v>0</v>
      </c>
      <c r="P214" s="101">
        <f>SUM(Q214:T214)</f>
        <v>203096</v>
      </c>
      <c r="Q214" s="101"/>
      <c r="R214" s="101"/>
      <c r="S214" s="101"/>
      <c r="T214" s="101">
        <f t="shared" si="855" ref="T214:T229">78206+106802+10472+7616</f>
        <v>203096</v>
      </c>
      <c r="U214" s="101">
        <f>IF(O214,Q214)</f>
        <v>0</v>
      </c>
      <c r="V214" s="101">
        <f>IF(O214,0,Q214)</f>
        <v>0</v>
      </c>
      <c r="W214" t="b" s="102">
        <v>0</v>
      </c>
      <c r="X214" s="103">
        <f>IF(W214,Q214,0)</f>
        <v>0</v>
      </c>
    </row>
    <row r="215" ht="14" customHeight="1">
      <c r="L215" s="192"/>
      <c r="M215" t="s" s="91">
        <v>1067</v>
      </c>
      <c r="N215" t="s" s="91">
        <v>1068</v>
      </c>
      <c r="O215" t="b" s="92">
        <v>0</v>
      </c>
      <c r="P215" s="94">
        <f>SUM(Q215:T215)</f>
        <v>286182</v>
      </c>
      <c r="Q215" s="94"/>
      <c r="R215" s="94"/>
      <c r="S215" s="94"/>
      <c r="T215" s="94">
        <f>90752+110561+79861+5008</f>
        <v>286182</v>
      </c>
      <c r="U215" s="94">
        <f>IF(O215,P215)</f>
        <v>0</v>
      </c>
      <c r="V215" s="94">
        <f>IF(O215,0,P215)</f>
        <v>286182</v>
      </c>
      <c r="W215" t="b" s="95">
        <v>0</v>
      </c>
      <c r="X215" s="96">
        <f>IF(W215,P215,0)</f>
        <v>0</v>
      </c>
    </row>
    <row r="216" ht="14" customHeight="1">
      <c r="L216" s="192"/>
      <c r="M216" t="s" s="98">
        <v>1050</v>
      </c>
      <c r="N216" s="98"/>
      <c r="O216" t="b" s="99">
        <v>0</v>
      </c>
      <c r="P216" s="101">
        <f>SUM(Q216:T216)</f>
        <v>0</v>
      </c>
      <c r="Q216" s="101"/>
      <c r="R216" s="101"/>
      <c r="S216" s="101"/>
      <c r="T216" s="101">
        <f>Q216-Q216</f>
        <v>0</v>
      </c>
      <c r="U216" s="101">
        <f>IF(O216,Q216)</f>
        <v>0</v>
      </c>
      <c r="V216" s="101">
        <f>IF(O216,0,Q216)</f>
        <v>0</v>
      </c>
      <c r="W216" t="b" s="102">
        <v>0</v>
      </c>
      <c r="X216" s="103">
        <f>IF(W216,Q216,0)</f>
        <v>0</v>
      </c>
    </row>
    <row r="217" ht="14" customHeight="1">
      <c r="L217" s="193"/>
      <c r="M217" t="s" s="106">
        <v>1051</v>
      </c>
      <c r="N217" s="106"/>
      <c r="O217" t="b" s="107">
        <v>0</v>
      </c>
      <c r="P217" s="109">
        <f>SUM(Q217:T217)</f>
        <v>0</v>
      </c>
      <c r="Q217" s="109"/>
      <c r="R217" s="109"/>
      <c r="S217" s="109"/>
      <c r="T217" s="109">
        <f>Q217-Q217</f>
        <v>0</v>
      </c>
      <c r="U217" s="109">
        <f>IF(O217,Q217)</f>
        <v>0</v>
      </c>
      <c r="V217" s="109">
        <f>IF(O217,0,Q217)</f>
        <v>0</v>
      </c>
      <c r="W217" t="b" s="110">
        <v>0</v>
      </c>
      <c r="X217" s="111">
        <f>IF(W217,Q217,0)</f>
        <v>0</v>
      </c>
    </row>
    <row r="218" ht="14" customHeight="1">
      <c r="L218" s="198"/>
      <c r="M218" t="s" s="115">
        <v>211</v>
      </c>
      <c r="N218" s="115"/>
      <c r="O218" s="116"/>
      <c r="P218" s="118">
        <f>SUM($P$199:P214,$P216:P217)</f>
        <v>4822150</v>
      </c>
      <c r="Q218" s="118">
        <f>SUM(Q199:Q217)</f>
        <v>3453748</v>
      </c>
      <c r="R218" s="118">
        <f>SUM(R199:R217)</f>
        <v>0</v>
      </c>
      <c r="S218" s="118">
        <f>SUM(S199:S217)</f>
        <v>0</v>
      </c>
      <c r="T218" s="118">
        <f>SUM(T199:T217)</f>
        <v>1654584</v>
      </c>
      <c r="U218" s="118">
        <f>SUM($U$199:U214,$U216:U217)</f>
        <v>15000</v>
      </c>
      <c r="V218" s="118">
        <f>SUM($V$199:V214,$V216:V217)</f>
        <v>3438748</v>
      </c>
      <c r="W218" s="118"/>
      <c r="X218" s="153">
        <f>SUM(X199:X217)</f>
        <v>3393748</v>
      </c>
    </row>
    <row r="219" ht="14" customHeight="1">
      <c r="L219" s="120"/>
      <c r="M219" s="122"/>
      <c r="N219" s="123"/>
      <c r="O219" s="124"/>
      <c r="P219" s="126"/>
      <c r="Q219" s="126"/>
      <c r="R219" s="126"/>
      <c r="S219" s="126"/>
      <c r="T219" s="126"/>
      <c r="U219" s="126"/>
      <c r="V219" s="126"/>
      <c r="W219" s="122"/>
      <c r="X219" s="127"/>
    </row>
    <row r="220" ht="14" customHeight="1">
      <c r="L220" s="194"/>
      <c r="M220" t="s" s="83">
        <v>1063</v>
      </c>
      <c r="N220" s="83"/>
      <c r="O220" t="b" s="84">
        <v>1</v>
      </c>
      <c r="P220" s="86">
        <f>SUM(Q220:T220)</f>
        <v>846111</v>
      </c>
      <c r="Q220" s="86"/>
      <c r="R220" s="86"/>
      <c r="S220" s="86"/>
      <c r="T220" s="86">
        <v>846111</v>
      </c>
      <c r="U220" s="86">
        <f>IF(O220,P220)</f>
        <v>846111</v>
      </c>
      <c r="V220" s="86">
        <f>IF(O220,0,P220)</f>
        <v>0</v>
      </c>
      <c r="W220" t="b" s="87">
        <v>1</v>
      </c>
      <c r="X220" s="88">
        <f>IF(W220,P220,0)</f>
        <v>846111</v>
      </c>
    </row>
    <row r="221" ht="14" customHeight="1">
      <c r="L221" s="192"/>
      <c r="M221" t="s" s="91">
        <v>1064</v>
      </c>
      <c r="N221" s="91"/>
      <c r="O221" t="b" s="92">
        <v>1</v>
      </c>
      <c r="P221" s="94">
        <f>SUM(Q221:T221)</f>
        <v>15000</v>
      </c>
      <c r="Q221" s="94">
        <v>15000</v>
      </c>
      <c r="R221" s="94"/>
      <c r="S221" s="94"/>
      <c r="T221" s="171"/>
      <c r="U221" s="94">
        <f>IF(O221,Q221)</f>
        <v>15000</v>
      </c>
      <c r="V221" s="94">
        <f>IF(O221,0,Q221)</f>
        <v>0</v>
      </c>
      <c r="W221" t="b" s="95">
        <v>0</v>
      </c>
      <c r="X221" s="96">
        <f>IF(W221,Q221,0)</f>
        <v>0</v>
      </c>
    </row>
    <row r="222" ht="14" customHeight="1">
      <c r="L222" s="192"/>
      <c r="M222" t="s" s="98">
        <v>1065</v>
      </c>
      <c r="N222" s="98"/>
      <c r="O222" t="b" s="99">
        <v>1</v>
      </c>
      <c r="P222" s="101">
        <f>SUM(Q222:T222)</f>
        <v>0</v>
      </c>
      <c r="Q222" s="101"/>
      <c r="R222" s="101"/>
      <c r="S222" s="101"/>
      <c r="T222" s="101"/>
      <c r="U222" s="101">
        <f>IF(O222,P222)</f>
        <v>0</v>
      </c>
      <c r="V222" s="101">
        <f>IF(O222,0,P222)</f>
        <v>0</v>
      </c>
      <c r="W222" t="b" s="102">
        <v>0</v>
      </c>
      <c r="X222" s="103">
        <f>IF(W222,P222,0)</f>
        <v>0</v>
      </c>
    </row>
    <row r="223" ht="14" customHeight="1">
      <c r="L223" s="192"/>
      <c r="M223" t="s" s="91">
        <v>1066</v>
      </c>
      <c r="N223" s="91"/>
      <c r="O223" t="b" s="92">
        <v>1</v>
      </c>
      <c r="P223" s="94">
        <f>SUM(Q223:T223)</f>
        <v>0</v>
      </c>
      <c r="Q223" s="94"/>
      <c r="R223" s="94"/>
      <c r="S223" s="94"/>
      <c r="T223" s="94"/>
      <c r="U223" s="94">
        <f>IF(O223,P223)</f>
        <v>0</v>
      </c>
      <c r="V223" s="94">
        <f>IF(O223,0,P223)</f>
        <v>0</v>
      </c>
      <c r="W223" t="b" s="95">
        <v>0</v>
      </c>
      <c r="X223" s="96">
        <f>IF(W223,P223,0)</f>
        <v>0</v>
      </c>
    </row>
    <row r="224" ht="14" customHeight="1">
      <c r="L224" s="192"/>
      <c r="M224" t="s" s="98">
        <v>1069</v>
      </c>
      <c r="N224" t="s" s="98">
        <v>1070</v>
      </c>
      <c r="O224" t="b" s="99">
        <v>1</v>
      </c>
      <c r="P224" s="101">
        <f>SUM(Q224:T224)</f>
        <v>24904</v>
      </c>
      <c r="Q224" s="101">
        <v>24904</v>
      </c>
      <c r="R224" s="101"/>
      <c r="S224" s="101"/>
      <c r="T224" s="101"/>
      <c r="U224" s="101">
        <f>IF(O224,P224)</f>
        <v>24904</v>
      </c>
      <c r="V224" s="101">
        <f>IF(O224,0,P224)</f>
        <v>0</v>
      </c>
      <c r="W224" t="b" s="102">
        <v>0</v>
      </c>
      <c r="X224" s="103">
        <f>IF(W224,P224,0)</f>
        <v>0</v>
      </c>
    </row>
    <row r="225" ht="14" customHeight="1">
      <c r="L225" s="192"/>
      <c r="M225" t="s" s="91">
        <v>22</v>
      </c>
      <c r="N225" t="s" s="91">
        <v>8</v>
      </c>
      <c r="O225" t="b" s="92">
        <v>1</v>
      </c>
      <c r="P225" s="94">
        <f>SUM(Q225:T225)</f>
        <v>0</v>
      </c>
      <c r="Q225" s="94"/>
      <c r="R225" s="94"/>
      <c r="S225" s="94"/>
      <c r="T225" s="94"/>
      <c r="U225" s="94">
        <f>IF(O225,P225)</f>
        <v>0</v>
      </c>
      <c r="V225" s="94">
        <f>IF(O225,0,P225)</f>
        <v>0</v>
      </c>
      <c r="W225" t="b" s="95">
        <v>0</v>
      </c>
      <c r="X225" s="96">
        <f>IF(W225,P225,0)</f>
        <v>0</v>
      </c>
    </row>
    <row r="226" ht="14" customHeight="1">
      <c r="L226" s="192"/>
      <c r="M226" t="s" s="98">
        <v>1023</v>
      </c>
      <c r="N226" t="s" s="98">
        <v>8</v>
      </c>
      <c r="O226" t="b" s="99">
        <v>1</v>
      </c>
      <c r="P226" s="101">
        <f>SUM(Q226:T226)</f>
        <v>0</v>
      </c>
      <c r="Q226" s="101"/>
      <c r="R226" s="101"/>
      <c r="S226" s="101"/>
      <c r="T226" s="101"/>
      <c r="U226" s="101">
        <f>IF(O226,P226)</f>
        <v>0</v>
      </c>
      <c r="V226" s="101">
        <f>IF(O226,0,P226)</f>
        <v>0</v>
      </c>
      <c r="W226" t="b" s="102">
        <v>0</v>
      </c>
      <c r="X226" s="103">
        <f>IF(W226,P226,0)</f>
        <v>0</v>
      </c>
    </row>
    <row r="227" ht="14" customHeight="1">
      <c r="L227" s="192"/>
      <c r="M227" t="s" s="91">
        <v>1014</v>
      </c>
      <c r="N227" t="s" s="91">
        <v>8</v>
      </c>
      <c r="O227" t="b" s="92">
        <v>1</v>
      </c>
      <c r="P227" s="94">
        <f>SUM(Q227:T227)</f>
        <v>0</v>
      </c>
      <c r="Q227" s="94"/>
      <c r="R227" s="94"/>
      <c r="S227" s="94"/>
      <c r="T227" s="94"/>
      <c r="U227" s="94">
        <f>IF(O227,P227)</f>
        <v>0</v>
      </c>
      <c r="V227" s="94">
        <f>IF(O227,0,P227)</f>
        <v>0</v>
      </c>
      <c r="W227" t="b" s="95">
        <v>0</v>
      </c>
      <c r="X227" s="96">
        <f>IF(W227,P227,0)</f>
        <v>0</v>
      </c>
    </row>
    <row r="228" ht="14" customHeight="1">
      <c r="L228" s="192"/>
      <c r="M228" t="s" s="98">
        <v>66</v>
      </c>
      <c r="N228" t="s" s="98">
        <v>8</v>
      </c>
      <c r="O228" t="b" s="99">
        <v>1</v>
      </c>
      <c r="P228" s="101">
        <f>SUM(Q228:T228)</f>
        <v>0</v>
      </c>
      <c r="Q228" s="101"/>
      <c r="R228" s="101"/>
      <c r="S228" s="101"/>
      <c r="T228" s="101"/>
      <c r="U228" s="101">
        <f>IF(O228,P228)</f>
        <v>0</v>
      </c>
      <c r="V228" s="101">
        <f>IF(O228,0,P228)</f>
        <v>0</v>
      </c>
      <c r="W228" t="b" s="102">
        <v>0</v>
      </c>
      <c r="X228" s="103">
        <f>IF(W228,P228,0)</f>
        <v>0</v>
      </c>
    </row>
    <row r="229" ht="14" customHeight="1">
      <c r="L229" s="192"/>
      <c r="M229" t="s" s="91">
        <v>1045</v>
      </c>
      <c r="N229" t="s" s="91">
        <v>1052</v>
      </c>
      <c r="O229" t="b" s="92">
        <v>0</v>
      </c>
      <c r="P229" s="94">
        <f>SUM(Q229:T229)</f>
        <v>203096</v>
      </c>
      <c r="Q229" s="94"/>
      <c r="R229" s="94"/>
      <c r="S229" s="94"/>
      <c r="T229" s="94">
        <f t="shared" si="855"/>
        <v>203096</v>
      </c>
      <c r="U229" s="94">
        <f>IF(O229,P229)</f>
        <v>0</v>
      </c>
      <c r="V229" s="94">
        <f>IF(O229,0,P229)</f>
        <v>203096</v>
      </c>
      <c r="W229" t="b" s="95">
        <v>0</v>
      </c>
      <c r="X229" s="96">
        <f>IF(W229,P229,0)</f>
        <v>0</v>
      </c>
    </row>
    <row r="230" ht="14" customHeight="1">
      <c r="L230" s="192"/>
      <c r="M230" t="s" s="98">
        <v>1053</v>
      </c>
      <c r="N230" t="s" s="98">
        <v>1054</v>
      </c>
      <c r="O230" t="b" s="99">
        <v>0</v>
      </c>
      <c r="P230" s="101">
        <f>SUM(Q230:T230)</f>
        <v>574752</v>
      </c>
      <c r="Q230" s="101"/>
      <c r="R230" s="101"/>
      <c r="S230" s="101"/>
      <c r="T230" s="101">
        <f>155100*2+103400*2+10783+16854+695*7+750*7+20000</f>
        <v>574752</v>
      </c>
      <c r="U230" s="101">
        <f>IF(O230,T230)</f>
        <v>0</v>
      </c>
      <c r="V230" s="101">
        <f>IF(O230,0,T230)</f>
        <v>574752</v>
      </c>
      <c r="W230" t="b" s="102">
        <v>0</v>
      </c>
      <c r="X230" s="103">
        <f>IF(W230,T230,0)</f>
        <v>0</v>
      </c>
    </row>
    <row r="231" ht="14" customHeight="1">
      <c r="L231" s="192"/>
      <c r="M231" t="s" s="91">
        <v>1055</v>
      </c>
      <c r="N231" t="s" s="91">
        <v>1056</v>
      </c>
      <c r="O231" t="b" s="92">
        <v>0</v>
      </c>
      <c r="P231" s="94">
        <f>SUM(Q231:T231)</f>
        <v>268500</v>
      </c>
      <c r="Q231" s="94"/>
      <c r="R231" s="94"/>
      <c r="S231" s="94"/>
      <c r="T231" s="94">
        <f>155100+103400+10000</f>
        <v>268500</v>
      </c>
      <c r="U231" s="94">
        <f>IF(O231,T231)</f>
        <v>0</v>
      </c>
      <c r="V231" s="94">
        <f>IF(O231,0,T231)</f>
        <v>268500</v>
      </c>
      <c r="W231" t="b" s="95">
        <v>0</v>
      </c>
      <c r="X231" s="96">
        <f>IF(W231,T231,0)</f>
        <v>0</v>
      </c>
    </row>
    <row r="232" ht="14" customHeight="1">
      <c r="L232" s="192"/>
      <c r="M232" t="s" s="98">
        <v>22</v>
      </c>
      <c r="N232" t="s" s="98">
        <v>1057</v>
      </c>
      <c r="O232" t="b" s="99">
        <v>0</v>
      </c>
      <c r="P232" s="101">
        <f>SUM(Q232:T232)</f>
        <v>181500</v>
      </c>
      <c r="Q232" s="101"/>
      <c r="R232" s="101"/>
      <c r="S232" s="101"/>
      <c r="T232" s="101">
        <f>108900+72600</f>
        <v>181500</v>
      </c>
      <c r="U232" s="101">
        <f>IF(O232,T232)</f>
        <v>0</v>
      </c>
      <c r="V232" s="101">
        <f>IF(O232,0,T232)</f>
        <v>181500</v>
      </c>
      <c r="W232" t="b" s="102">
        <v>0</v>
      </c>
      <c r="X232" s="103">
        <f>IF(W232,T232,0)</f>
        <v>0</v>
      </c>
    </row>
    <row r="233" ht="14" customHeight="1">
      <c r="L233" s="193"/>
      <c r="M233" t="s" s="106">
        <v>1058</v>
      </c>
      <c r="N233" s="106"/>
      <c r="O233" t="b" s="107">
        <v>0</v>
      </c>
      <c r="P233" s="109">
        <f>SUM(Q233:T233)</f>
        <v>25000</v>
      </c>
      <c r="Q233" s="109">
        <v>25000</v>
      </c>
      <c r="R233" s="109"/>
      <c r="S233" s="109"/>
      <c r="T233" s="109"/>
      <c r="U233" s="109">
        <f>IF(O233,P233)</f>
        <v>0</v>
      </c>
      <c r="V233" s="109">
        <f>IF(O233,0,P233)</f>
        <v>25000</v>
      </c>
      <c r="W233" t="b" s="110">
        <v>0</v>
      </c>
      <c r="X233" s="111">
        <f>IF(W233,P233,0)</f>
        <v>0</v>
      </c>
    </row>
    <row r="234" ht="14" customHeight="1">
      <c r="L234" s="198"/>
      <c r="M234" t="s" s="115">
        <v>23</v>
      </c>
      <c r="N234" s="115"/>
      <c r="O234" s="116"/>
      <c r="P234" s="118">
        <f>SUM(P220:P233)</f>
        <v>2138863</v>
      </c>
      <c r="Q234" s="118">
        <f>SUM(Q220:Q233)</f>
        <v>64904</v>
      </c>
      <c r="R234" s="118">
        <f>SUM(R220:R233)</f>
        <v>0</v>
      </c>
      <c r="S234" s="118">
        <f>SUM(S220:S233)</f>
        <v>0</v>
      </c>
      <c r="T234" s="118">
        <f>SUM(T220:T233)</f>
        <v>2073959</v>
      </c>
      <c r="U234" s="118">
        <f>SUM(U220:U233)</f>
        <v>886015</v>
      </c>
      <c r="V234" s="118">
        <f>SUM(V220:V233)</f>
        <v>1252848</v>
      </c>
      <c r="W234" s="118"/>
      <c r="X234" s="153">
        <f>SUM(X220:X233)</f>
        <v>846111</v>
      </c>
    </row>
  </sheetData>
  <mergeCells count="4">
    <mergeCell ref="A1:K1"/>
    <mergeCell ref="J2:K2"/>
    <mergeCell ref="L114:X114"/>
    <mergeCell ref="W115:X115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2:AJ243"/>
  <sheetViews>
    <sheetView workbookViewId="0" showGridLines="0" defaultGridColor="1">
      <pane topLeftCell="A4" xSplit="0" ySplit="3" activePane="bottomLeft" state="frozen"/>
    </sheetView>
  </sheetViews>
  <sheetFormatPr defaultColWidth="10.8333" defaultRowHeight="13.4" customHeight="1" outlineLevelRow="0" outlineLevelCol="0"/>
  <cols>
    <col min="1" max="2" width="14.8516" style="201" customWidth="1"/>
    <col min="3" max="3" width="9.71094" style="201" customWidth="1"/>
    <col min="4" max="4" width="14.6875" style="201" customWidth="1"/>
    <col min="5" max="5" width="11.0703" style="201" customWidth="1"/>
    <col min="6" max="10" width="18" style="201" customWidth="1"/>
    <col min="11" max="11" width="10.1719" style="248" customWidth="1"/>
    <col min="12" max="12" width="6.67188" style="248" customWidth="1"/>
    <col min="13" max="13" width="6.5" style="248" customWidth="1"/>
    <col min="14" max="14" width="8.28906" style="248" customWidth="1"/>
    <col min="15" max="15" width="6.67188" style="248" customWidth="1"/>
    <col min="16" max="16" width="8.66406" style="248" customWidth="1"/>
    <col min="17" max="17" width="8.49219" style="248" customWidth="1"/>
    <col min="18" max="18" width="9.35156" style="248" customWidth="1"/>
    <col min="19" max="19" hidden="1" width="10.8333" style="262" customWidth="1"/>
    <col min="20" max="20" width="6.00781" style="262" customWidth="1"/>
    <col min="21" max="21" width="12.7031" style="262" customWidth="1"/>
    <col min="22" max="22" width="10.7031" style="262" customWidth="1"/>
    <col min="23" max="23" width="12.5391" style="262" customWidth="1"/>
    <col min="24" max="24" width="12.0938" style="262" customWidth="1"/>
    <col min="25" max="26" width="10.4219" style="262" customWidth="1"/>
    <col min="27" max="27" width="11.1094" style="262" customWidth="1"/>
    <col min="28" max="28" width="14.6016" style="262" customWidth="1"/>
    <col min="29" max="30" width="11.7734" style="262" customWidth="1"/>
    <col min="31" max="31" width="11.1875" style="262" customWidth="1"/>
    <col min="32" max="36" width="16.3516" style="312" customWidth="1"/>
    <col min="37" max="256" width="10.8516" style="312" customWidth="1"/>
  </cols>
  <sheetData>
    <row r="1" ht="32" customHeight="1">
      <c r="A1" t="s" s="202">
        <v>1071</v>
      </c>
      <c r="B1" s="202"/>
      <c r="C1" s="202"/>
      <c r="D1" s="202"/>
      <c r="E1" s="202"/>
      <c r="F1" s="202"/>
      <c r="G1" s="202"/>
      <c r="H1" s="202"/>
      <c r="I1" s="202"/>
      <c r="J1" s="202"/>
    </row>
    <row r="2" ht="22.5" customHeight="1">
      <c r="A2" s="203"/>
      <c r="B2" s="204"/>
      <c r="C2" t="s" s="205">
        <v>1072</v>
      </c>
      <c r="D2" s="206"/>
      <c r="E2" t="s" s="205">
        <v>1073</v>
      </c>
      <c r="F2" s="206"/>
      <c r="G2" s="207"/>
      <c r="H2" s="207"/>
      <c r="I2" s="207"/>
      <c r="J2" s="208"/>
    </row>
    <row r="3" ht="15.5" customHeight="1">
      <c r="A3" s="209"/>
      <c r="B3" t="s" s="210">
        <v>1074</v>
      </c>
      <c r="C3" t="s" s="210">
        <v>1075</v>
      </c>
      <c r="D3" t="s" s="210">
        <v>5</v>
      </c>
      <c r="E3" t="s" s="210">
        <v>1075</v>
      </c>
      <c r="F3" t="s" s="210">
        <v>5</v>
      </c>
      <c r="G3" t="s" s="210">
        <v>1063</v>
      </c>
      <c r="H3" t="s" s="210">
        <v>1076</v>
      </c>
      <c r="I3" t="s" s="210">
        <v>1077</v>
      </c>
      <c r="J3" t="s" s="211">
        <v>1078</v>
      </c>
    </row>
    <row r="4" ht="15.5" customHeight="1">
      <c r="A4" s="212">
        <v>2010</v>
      </c>
      <c r="B4" t="s" s="213">
        <f>CONCATENATE(S229," ",T$223)</f>
        <v>13</v>
      </c>
      <c r="C4" s="214">
        <f>LOOKUP($B4,'PlusGroup'!B2:B1489,'PlusGroup'!A2:A1489)</f>
        <v>5</v>
      </c>
      <c r="D4" s="215">
        <f>LOOKUP($B4,'PlusGroup'!B2:B1489,'PlusGroup'!E2:E1489)</f>
        <v>2571609</v>
      </c>
      <c r="E4" s="214">
        <f>LOOKUP($B4,'PlusGroup'!B2:B1489,'PlusGroup'!J2:J1489)</f>
        <v>0</v>
      </c>
      <c r="F4" s="216">
        <f>LOOKUP($B4,'PlusGroup'!B2:B1489,'PlusGroup'!H2:H1489)</f>
        <v>0</v>
      </c>
      <c r="G4" s="216">
        <v>0</v>
      </c>
      <c r="H4" s="216">
        <v>50000</v>
      </c>
      <c r="I4" s="216">
        <v>250000</v>
      </c>
      <c r="J4" s="217">
        <f>((D4-F4)*0.4+F4)-SUM(G4:I4)</f>
        <v>728643.6000000001</v>
      </c>
    </row>
    <row r="5" ht="15" customHeight="1">
      <c r="A5" s="218"/>
      <c r="B5" t="s" s="219">
        <f>CONCATENATE(S230," ",T$223)</f>
        <v>17</v>
      </c>
      <c r="C5" s="220">
        <f>LOOKUP($B5,'PlusGroup'!B2:B1489,'PlusGroup'!A2:A1489)</f>
        <v>4</v>
      </c>
      <c r="D5" s="221">
        <f>LOOKUP($B5,'PlusGroup'!B2:B1489,'PlusGroup'!E2:E1489)</f>
        <v>1882295</v>
      </c>
      <c r="E5" s="220">
        <f>LOOKUP($B5,'PlusGroup'!B2:B1489,'PlusGroup'!J2:J1489)</f>
        <v>0</v>
      </c>
      <c r="F5" s="222">
        <f>LOOKUP($B5,'PlusGroup'!B2:B1489,'PlusGroup'!H2:H1489)</f>
        <v>0</v>
      </c>
      <c r="G5" s="222">
        <v>0</v>
      </c>
      <c r="H5" s="222">
        <v>50000</v>
      </c>
      <c r="I5" s="222">
        <v>250000</v>
      </c>
      <c r="J5" s="223">
        <f>((D5-F5)*0.4+F5)-SUM(G5:I5)</f>
        <v>452918</v>
      </c>
    </row>
    <row r="6" ht="15.5" customHeight="1">
      <c r="A6" s="224"/>
      <c r="B6" t="s" s="213">
        <f>CONCATENATE(S231," ",T$223)</f>
        <v>28</v>
      </c>
      <c r="C6" s="214">
        <f>LOOKUP($B6,'PlusGroup'!B2:B1489,'PlusGroup'!A2:A1489)</f>
        <v>11</v>
      </c>
      <c r="D6" s="215">
        <f>LOOKUP($B6,'PlusGroup'!B2:B1489,'PlusGroup'!E2:E1489)</f>
        <v>3420763</v>
      </c>
      <c r="E6" s="214">
        <f>LOOKUP($B6,'PlusGroup'!B2:B1489,'PlusGroup'!J2:J1489)</f>
        <v>3</v>
      </c>
      <c r="F6" s="216">
        <f>LOOKUP($B6,'PlusGroup'!B2:B1489,'PlusGroup'!H2:H1489)</f>
        <v>478683</v>
      </c>
      <c r="G6" s="216">
        <v>1090873</v>
      </c>
      <c r="H6" s="216">
        <v>90000</v>
      </c>
      <c r="I6" s="216">
        <v>250000</v>
      </c>
      <c r="J6" s="217">
        <f>((D6-F6)*0.4+F6)-SUM(G6:I6)</f>
        <v>224642</v>
      </c>
    </row>
    <row r="7" ht="16" customHeight="1">
      <c r="A7" s="225"/>
      <c r="B7" s="226"/>
      <c r="C7" s="227">
        <f>SUM(C4:C6)</f>
        <v>20</v>
      </c>
      <c r="D7" s="228">
        <f>SUM(D4:D6)</f>
        <v>7874667</v>
      </c>
      <c r="E7" s="227">
        <f>SUM(E4:E6)</f>
        <v>3</v>
      </c>
      <c r="F7" s="229">
        <f>SUM(F4:F6)</f>
        <v>478683</v>
      </c>
      <c r="G7" s="229">
        <f>SUM(G4:G6)</f>
        <v>1090873</v>
      </c>
      <c r="H7" s="229">
        <f>SUM(H4:H6)</f>
        <v>190000</v>
      </c>
      <c r="I7" s="229">
        <f>SUM(I4:I6)</f>
        <v>750000</v>
      </c>
      <c r="J7" s="230">
        <f>SUM(J4:J6)</f>
        <v>1406203.6</v>
      </c>
    </row>
    <row r="8" ht="15.5" customHeight="1">
      <c r="A8" s="231">
        <v>2011</v>
      </c>
      <c r="B8" t="s" s="213">
        <f>CONCATENATE(S220," ",T$224)</f>
        <v>48</v>
      </c>
      <c r="C8" s="214">
        <f>LOOKUP($B8,'PlusGroup'!B2:B1489,'PlusGroup'!A2:A1489)</f>
        <v>26</v>
      </c>
      <c r="D8" s="215">
        <f>LOOKUP($B8,'PlusGroup'!B2:B1489,'PlusGroup'!E2:E1489)</f>
        <v>4993510</v>
      </c>
      <c r="E8" s="214">
        <f>LOOKUP($B8,'PlusGroup'!B2:B1489,'PlusGroup'!J2:J1489)</f>
        <v>4</v>
      </c>
      <c r="F8" s="216">
        <f>LOOKUP($B8,'PlusGroup'!B2:B1489,'PlusGroup'!H2:H1489)</f>
        <v>490600</v>
      </c>
      <c r="G8" s="216">
        <f>R115</f>
        <v>1090873</v>
      </c>
      <c r="H8" s="216">
        <v>90000</v>
      </c>
      <c r="I8" s="216">
        <v>275000</v>
      </c>
      <c r="J8" s="217">
        <f>((D8-F8)*0.4+F8)-SUM(G8:I8)</f>
        <v>835891</v>
      </c>
    </row>
    <row r="9" ht="15" customHeight="1">
      <c r="A9" s="218"/>
      <c r="B9" t="s" s="219">
        <f>CONCATENATE(S221," ",T$224)</f>
        <v>67</v>
      </c>
      <c r="C9" s="220">
        <f>LOOKUP($B9,'PlusGroup'!B2:B1489,'PlusGroup'!A2:A1489)</f>
        <v>18</v>
      </c>
      <c r="D9" s="221">
        <f>LOOKUP($B9,'PlusGroup'!B2:B1489,'PlusGroup'!E2:E1489)</f>
        <v>5713170</v>
      </c>
      <c r="E9" s="220">
        <f>LOOKUP($B9,'PlusGroup'!B2:B1489,'PlusGroup'!J2:J1489)</f>
        <v>7</v>
      </c>
      <c r="F9" s="222">
        <f>LOOKUP($B9,'PlusGroup'!B2:B1489,'PlusGroup'!H2:H1489)</f>
        <v>777125</v>
      </c>
      <c r="G9" s="222">
        <f>R116</f>
        <v>1090873</v>
      </c>
      <c r="H9" s="222">
        <v>90000</v>
      </c>
      <c r="I9" s="222">
        <v>275000</v>
      </c>
      <c r="J9" s="223">
        <f>((D9-F9)*0.4+F9)-SUM(G9:I9)</f>
        <v>1295670</v>
      </c>
    </row>
    <row r="10" ht="15" customHeight="1">
      <c r="A10" s="232"/>
      <c r="B10" t="s" s="213">
        <f>CONCATENATE(S222," ",T$224)</f>
        <v>83</v>
      </c>
      <c r="C10" s="214">
        <f>LOOKUP($B10,'PlusGroup'!B2:B1489,'PlusGroup'!A2:A1489)</f>
        <v>21</v>
      </c>
      <c r="D10" s="215">
        <f>LOOKUP($B10,'PlusGroup'!B2:B1489,'PlusGroup'!E2:E1489)</f>
        <v>3132747</v>
      </c>
      <c r="E10" s="214">
        <f>LOOKUP($B10,'PlusGroup'!B2:B1489,'PlusGroup'!J2:J1489)</f>
        <v>6</v>
      </c>
      <c r="F10" s="216">
        <f>LOOKUP($B10,'PlusGroup'!B2:B1489,'PlusGroup'!H2:H1489)</f>
        <v>636125</v>
      </c>
      <c r="G10" s="216">
        <f>R117</f>
        <v>1682873</v>
      </c>
      <c r="H10" s="216">
        <v>120000</v>
      </c>
      <c r="I10" s="216">
        <v>275000</v>
      </c>
      <c r="J10" s="217">
        <f>((D10-F10)*0.4+F10)-SUM(G10:I10)</f>
        <v>-443099.2</v>
      </c>
    </row>
    <row r="11" ht="15" customHeight="1">
      <c r="A11" s="218"/>
      <c r="B11" t="s" s="219">
        <f>CONCATENATE(S223," ",T$224)</f>
        <v>99</v>
      </c>
      <c r="C11" s="220">
        <f>LOOKUP($B11,'PlusGroup'!B2:B1489,'PlusGroup'!A2:A1489)</f>
        <v>21</v>
      </c>
      <c r="D11" s="221">
        <f>LOOKUP($B11,'PlusGroup'!B2:B1489,'PlusGroup'!E2:E1489)</f>
        <v>5530060</v>
      </c>
      <c r="E11" s="220">
        <f>LOOKUP($B11,'PlusGroup'!B2:B1489,'PlusGroup'!J2:J1489)</f>
        <v>9</v>
      </c>
      <c r="F11" s="222">
        <f>LOOKUP($B11,'PlusGroup'!B2:B1489,'PlusGroup'!H2:H1489)</f>
        <v>1698643</v>
      </c>
      <c r="G11" s="222">
        <f>R118</f>
        <v>1682873</v>
      </c>
      <c r="H11" s="222">
        <v>120000</v>
      </c>
      <c r="I11" s="222">
        <v>275000</v>
      </c>
      <c r="J11" s="223">
        <f>((D11-F11)*0.4+F11)-SUM(G11:I11)</f>
        <v>1153336.8</v>
      </c>
    </row>
    <row r="12" ht="15" customHeight="1">
      <c r="A12" s="232"/>
      <c r="B12" t="s" s="213">
        <f>CONCATENATE(S224," ",T$224)</f>
        <v>118</v>
      </c>
      <c r="C12" s="214">
        <f>LOOKUP($B12,'PlusGroup'!B2:B1489,'PlusGroup'!A2:A1489)</f>
        <v>25</v>
      </c>
      <c r="D12" s="215">
        <f>LOOKUP($B12,'PlusGroup'!B2:B1489,'PlusGroup'!E2:E1489)</f>
        <v>7412842</v>
      </c>
      <c r="E12" s="214">
        <f>LOOKUP($B12,'PlusGroup'!B2:B1489,'PlusGroup'!J2:J1489)</f>
        <v>10</v>
      </c>
      <c r="F12" s="216">
        <f>LOOKUP($B12,'PlusGroup'!B2:B1489,'PlusGroup'!H2:H1489)</f>
        <v>1718324</v>
      </c>
      <c r="G12" s="216">
        <f>R119</f>
        <v>1682873</v>
      </c>
      <c r="H12" s="216">
        <v>120000</v>
      </c>
      <c r="I12" s="216">
        <v>275000</v>
      </c>
      <c r="J12" s="217">
        <f>((D12-F12)*0.4+F12)-SUM(G12:I12)</f>
        <v>1918258.2</v>
      </c>
    </row>
    <row r="13" ht="15" customHeight="1">
      <c r="A13" s="218"/>
      <c r="B13" t="s" s="219">
        <f>CONCATENATE(S225," ",T$224)</f>
        <v>138</v>
      </c>
      <c r="C13" s="220">
        <f>LOOKUP($B13,'PlusGroup'!B2:B1489,'PlusGroup'!A2:A1489)</f>
        <v>30</v>
      </c>
      <c r="D13" s="221">
        <f>LOOKUP($B13,'PlusGroup'!B2:B1489,'PlusGroup'!E2:E1489)</f>
        <v>6822060</v>
      </c>
      <c r="E13" s="220">
        <f>LOOKUP($B13,'PlusGroup'!B2:B1489,'PlusGroup'!J2:J1489)</f>
        <v>13</v>
      </c>
      <c r="F13" s="222">
        <f>LOOKUP($B13,'PlusGroup'!B2:B1489,'PlusGroup'!H2:H1489)</f>
        <v>2582575</v>
      </c>
      <c r="G13" s="222">
        <f>R120</f>
        <v>1682873</v>
      </c>
      <c r="H13" s="222">
        <v>120000</v>
      </c>
      <c r="I13" s="222">
        <v>275000</v>
      </c>
      <c r="J13" s="223">
        <f>((D13-F13)*0.4+F13)-SUM(G13:I13)</f>
        <v>2200496</v>
      </c>
    </row>
    <row r="14" ht="15" customHeight="1">
      <c r="A14" s="232"/>
      <c r="B14" t="s" s="213">
        <f>CONCATENATE(S226," ",T$224)</f>
        <v>158</v>
      </c>
      <c r="C14" s="214">
        <f>LOOKUP($B14,'PlusGroup'!B2:B1489,'PlusGroup'!A2:A1489)</f>
        <v>36</v>
      </c>
      <c r="D14" s="215">
        <f>LOOKUP($B14,'PlusGroup'!B2:B1489,'PlusGroup'!E2:E1489)</f>
        <v>9956811</v>
      </c>
      <c r="E14" s="214">
        <f>LOOKUP($B14,'PlusGroup'!B2:B1489,'PlusGroup'!J2:J1489)</f>
        <v>21</v>
      </c>
      <c r="F14" s="216">
        <f>LOOKUP($B14,'PlusGroup'!B2:B1489,'PlusGroup'!H2:H1489)</f>
        <v>3224826</v>
      </c>
      <c r="G14" s="216">
        <f>R121</f>
        <v>1682873</v>
      </c>
      <c r="H14" s="216">
        <v>120000</v>
      </c>
      <c r="I14" s="216">
        <v>275000</v>
      </c>
      <c r="J14" s="217">
        <f>((D14-F14)*0.4+F14)-SUM(G14:I14)</f>
        <v>3839747</v>
      </c>
    </row>
    <row r="15" ht="15" customHeight="1">
      <c r="A15" s="218"/>
      <c r="B15" t="s" s="219">
        <f>CONCATENATE(S227," ",T$224)</f>
        <v>178</v>
      </c>
      <c r="C15" s="220">
        <f>LOOKUP($B15,'PlusGroup'!B2:B1489,'PlusGroup'!A2:A1489)</f>
        <v>28</v>
      </c>
      <c r="D15" s="221">
        <f>LOOKUP($B15,'PlusGroup'!B2:B1489,'PlusGroup'!E2:E1489)</f>
        <v>8463746</v>
      </c>
      <c r="E15" s="220">
        <f>LOOKUP($B15,'PlusGroup'!B2:B1489,'PlusGroup'!J2:J1489)</f>
        <v>13</v>
      </c>
      <c r="F15" s="222">
        <f>LOOKUP($B15,'PlusGroup'!B2:B1489,'PlusGroup'!H2:H1489)</f>
        <v>2600075</v>
      </c>
      <c r="G15" s="222">
        <f>R122</f>
        <v>1682873</v>
      </c>
      <c r="H15" s="222">
        <v>120000</v>
      </c>
      <c r="I15" s="222">
        <v>275000</v>
      </c>
      <c r="J15" s="223">
        <f>((D15-F15)*0.4+F15)-SUM(G15:I15)</f>
        <v>2867670.4</v>
      </c>
    </row>
    <row r="16" ht="15" customHeight="1">
      <c r="A16" s="232"/>
      <c r="B16" t="s" s="213">
        <f>CONCATENATE(S228," ",T$224)</f>
        <v>194</v>
      </c>
      <c r="C16" s="214">
        <f>LOOKUP($B16,'PlusGroup'!B2:B1489,'PlusGroup'!A2:A1489)</f>
        <v>25</v>
      </c>
      <c r="D16" s="215">
        <f>LOOKUP($B16,'PlusGroup'!B2:B1489,'PlusGroup'!E2:E1489)</f>
        <v>5709193</v>
      </c>
      <c r="E16" s="214">
        <f>LOOKUP($B16,'PlusGroup'!B2:B1489,'PlusGroup'!J2:J1489)</f>
        <v>15</v>
      </c>
      <c r="F16" s="216">
        <f>LOOKUP($B16,'PlusGroup'!B2:B1489,'PlusGroup'!H2:H1489)</f>
        <v>2458593</v>
      </c>
      <c r="G16" s="216">
        <f>R123</f>
        <v>1682873</v>
      </c>
      <c r="H16" s="216">
        <v>120000</v>
      </c>
      <c r="I16" s="216">
        <v>275000</v>
      </c>
      <c r="J16" s="217">
        <f>((D16-F16)*0.4+F16)-SUM(G16:I16)</f>
        <v>1680960</v>
      </c>
    </row>
    <row r="17" ht="15" customHeight="1">
      <c r="A17" s="218"/>
      <c r="B17" t="s" s="219">
        <f>CONCATENATE(S229," ",T$224)</f>
        <v>206</v>
      </c>
      <c r="C17" s="220">
        <f>LOOKUP($B17,'PlusGroup'!B2:B1489,'PlusGroup'!A2:A1489)</f>
        <v>23</v>
      </c>
      <c r="D17" s="221">
        <f>LOOKUP($B17,'PlusGroup'!B2:B1489,'PlusGroup'!E2:E1489)</f>
        <v>6691503</v>
      </c>
      <c r="E17" s="220">
        <f>LOOKUP($B17,'PlusGroup'!B2:B1489,'PlusGroup'!J2:J1489)</f>
        <v>16</v>
      </c>
      <c r="F17" s="222">
        <f>LOOKUP($B17,'PlusGroup'!B2:B1489,'PlusGroup'!H2:H1489)</f>
        <v>4104323</v>
      </c>
      <c r="G17" s="222">
        <f>R124</f>
        <v>1978873</v>
      </c>
      <c r="H17" s="222">
        <v>135000</v>
      </c>
      <c r="I17" s="222">
        <v>275000</v>
      </c>
      <c r="J17" s="223">
        <f>((D17-F17)*0.4+F17)-SUM(G17:I17)</f>
        <v>2750322</v>
      </c>
    </row>
    <row r="18" ht="15" customHeight="1">
      <c r="A18" s="232"/>
      <c r="B18" t="s" s="213">
        <f>CONCATENATE(S230," ",T$224)</f>
        <v>215</v>
      </c>
      <c r="C18" s="214">
        <f>LOOKUP($B18,'PlusGroup'!B2:B1489,'PlusGroup'!A2:A1489)</f>
        <v>17</v>
      </c>
      <c r="D18" s="215">
        <f>LOOKUP($B18,'PlusGroup'!B2:B1489,'PlusGroup'!E2:E1489)</f>
        <v>2224128</v>
      </c>
      <c r="E18" s="214">
        <f>LOOKUP($B18,'PlusGroup'!B2:B1489,'PlusGroup'!J2:J1489)</f>
        <v>13</v>
      </c>
      <c r="F18" s="216">
        <f>LOOKUP($B18,'PlusGroup'!B2:B1489,'PlusGroup'!H2:H1489)</f>
        <v>2591745</v>
      </c>
      <c r="G18" s="216">
        <f>R125</f>
        <v>1978873</v>
      </c>
      <c r="H18" s="216">
        <v>135000</v>
      </c>
      <c r="I18" s="216">
        <v>275000</v>
      </c>
      <c r="J18" s="217">
        <f>((D18-F18)*0.4+F18)-SUM(G18:I18)</f>
        <v>55825.200000000186</v>
      </c>
    </row>
    <row r="19" ht="15.5" customHeight="1">
      <c r="A19" s="233"/>
      <c r="B19" t="s" s="219">
        <f>CONCATENATE(S231," ",T$224)</f>
        <v>233</v>
      </c>
      <c r="C19" s="220">
        <f>LOOKUP($B19,'PlusGroup'!B2:B1489,'PlusGroup'!A2:A1489)</f>
        <v>29</v>
      </c>
      <c r="D19" s="221">
        <f>LOOKUP($B19,'PlusGroup'!B2:B1489,'PlusGroup'!E2:E1489)</f>
        <v>8179246</v>
      </c>
      <c r="E19" s="220">
        <f>LOOKUP($B19,'PlusGroup'!B2:B1489,'PlusGroup'!J2:J1489)</f>
        <v>14</v>
      </c>
      <c r="F19" s="222">
        <f>LOOKUP($B19,'PlusGroup'!B2:B1489,'PlusGroup'!H2:H1489)</f>
        <v>3209646</v>
      </c>
      <c r="G19" s="222">
        <f>R126</f>
        <v>2043873</v>
      </c>
      <c r="H19" s="222">
        <v>135000</v>
      </c>
      <c r="I19" s="222">
        <v>275000</v>
      </c>
      <c r="J19" s="223">
        <f>((D19-F19)*0.4+F19)-SUM(G19:I19)</f>
        <v>2743613</v>
      </c>
    </row>
    <row r="20" ht="16" customHeight="1">
      <c r="A20" s="225"/>
      <c r="B20" s="226"/>
      <c r="C20" s="227">
        <f>SUM(C8:C19)</f>
        <v>299</v>
      </c>
      <c r="D20" s="228">
        <f>SUM(D8:D19)</f>
        <v>74829016</v>
      </c>
      <c r="E20" s="227">
        <f>SUM(E8:E19)</f>
        <v>141</v>
      </c>
      <c r="F20" s="229">
        <f>SUM(F8:F19)</f>
        <v>26092600</v>
      </c>
      <c r="G20" s="229">
        <f>SUM(G8:G19)</f>
        <v>19963476</v>
      </c>
      <c r="H20" s="229">
        <f>SUM(H8:H19)</f>
        <v>1425000</v>
      </c>
      <c r="I20" s="229">
        <f>SUM(I8:I19)</f>
        <v>3300000</v>
      </c>
      <c r="J20" s="230">
        <f>SUM(J8:J19)</f>
        <v>20898690.4</v>
      </c>
    </row>
    <row r="21" ht="15.5" customHeight="1">
      <c r="A21" s="212">
        <v>2012</v>
      </c>
      <c r="B21" t="s" s="219">
        <f>CONCATENATE(S220," ",T$225)</f>
        <v>246</v>
      </c>
      <c r="C21" s="220">
        <f>LOOKUP($B21,'PlusGroup'!B2:B1489,'PlusGroup'!A2:A1489)</f>
        <v>24</v>
      </c>
      <c r="D21" s="221">
        <f>LOOKUP($B21,'PlusGroup'!B2:B1489,'PlusGroup'!E2:E1489)</f>
        <v>8352776.286900001</v>
      </c>
      <c r="E21" s="220">
        <f>LOOKUP($B21,'PlusGroup'!B2:B1489,'PlusGroup'!J2:J1489)</f>
        <v>13</v>
      </c>
      <c r="F21" s="222">
        <f>LOOKUP($B21,'PlusGroup'!B2:B1489,'PlusGroup'!H2:H1489)</f>
        <v>2554282</v>
      </c>
      <c r="G21" s="222">
        <f>R128</f>
        <v>2152623</v>
      </c>
      <c r="H21" s="222">
        <v>135000</v>
      </c>
      <c r="I21" s="222">
        <v>300000</v>
      </c>
      <c r="J21" s="223">
        <f>((D21-F21)*0.4+F21)-SUM(G21:I21)</f>
        <v>2286056.71476</v>
      </c>
    </row>
    <row r="22" ht="15" customHeight="1">
      <c r="A22" s="232"/>
      <c r="B22" t="s" s="213">
        <f>CONCATENATE(S221," ",T$225)</f>
        <v>260</v>
      </c>
      <c r="C22" s="214">
        <f>LOOKUP($B22,'PlusGroup'!B2:B1489,'PlusGroup'!A2:A1489)</f>
        <v>21</v>
      </c>
      <c r="D22" s="215">
        <f>LOOKUP($B22,'PlusGroup'!B2:B1489,'PlusGroup'!E2:E1489)</f>
        <v>10495670.747</v>
      </c>
      <c r="E22" s="214">
        <f>LOOKUP($B22,'PlusGroup'!B2:B1489,'PlusGroup'!J2:J1489)</f>
        <v>14</v>
      </c>
      <c r="F22" s="216">
        <f>LOOKUP($B22,'PlusGroup'!B2:B1489,'PlusGroup'!H2:H1489)</f>
        <v>2141950.747</v>
      </c>
      <c r="G22" s="216">
        <f>R129</f>
        <v>2152623</v>
      </c>
      <c r="H22" s="216">
        <v>135000</v>
      </c>
      <c r="I22" s="216">
        <v>300000</v>
      </c>
      <c r="J22" s="217">
        <f>((D22-F22)*0.4+F22)-SUM(G22:I22)</f>
        <v>2895815.747</v>
      </c>
    </row>
    <row r="23" ht="15" customHeight="1">
      <c r="A23" s="218"/>
      <c r="B23" t="s" s="219">
        <f>CONCATENATE(S222," ",T$225)</f>
        <v>274</v>
      </c>
      <c r="C23" s="220">
        <f>LOOKUP($B23,'PlusGroup'!B2:B1489,'PlusGroup'!A2:A1489)</f>
        <v>27</v>
      </c>
      <c r="D23" s="221">
        <f>LOOKUP($B23,'PlusGroup'!B2:B1489,'PlusGroup'!E2:E1489)</f>
        <v>7297535.01</v>
      </c>
      <c r="E23" s="220">
        <f>LOOKUP($B23,'PlusGroup'!B2:B1489,'PlusGroup'!J2:J1489)</f>
        <v>16</v>
      </c>
      <c r="F23" s="222">
        <f>LOOKUP($B23,'PlusGroup'!B2:B1489,'PlusGroup'!H2:H1489)</f>
        <v>2740345.01</v>
      </c>
      <c r="G23" s="222">
        <f>R130</f>
        <v>2084149</v>
      </c>
      <c r="H23" s="222">
        <v>135000</v>
      </c>
      <c r="I23" s="222">
        <v>300000</v>
      </c>
      <c r="J23" s="223">
        <f>((D23-F23)*0.4+F23)-SUM(G23:I23)</f>
        <v>2044072.01</v>
      </c>
    </row>
    <row r="24" ht="15" customHeight="1">
      <c r="A24" s="232"/>
      <c r="B24" t="s" s="213">
        <f>CONCATENATE(S223," ",T$225)</f>
        <v>282</v>
      </c>
      <c r="C24" s="214">
        <f>LOOKUP($B24,'PlusGroup'!B2:B1489,'PlusGroup'!A2:A1489)</f>
        <v>24</v>
      </c>
      <c r="D24" s="215">
        <f>LOOKUP($B24,'PlusGroup'!B2:B1489,'PlusGroup'!E2:E1489)</f>
        <v>5471114.9205</v>
      </c>
      <c r="E24" s="214">
        <f>LOOKUP($B24,'PlusGroup'!B2:B1489,'PlusGroup'!J2:J1489)</f>
        <v>18</v>
      </c>
      <c r="F24" s="216">
        <f>LOOKUP($B24,'PlusGroup'!B2:B1489,'PlusGroup'!H2:H1489)</f>
        <v>3524114.9205</v>
      </c>
      <c r="G24" s="216">
        <f>R131</f>
        <v>1826431</v>
      </c>
      <c r="H24" s="216">
        <v>120000</v>
      </c>
      <c r="I24" s="216">
        <v>300000</v>
      </c>
      <c r="J24" s="217">
        <f>((D24-F24)*0.4+F24)-SUM(G24:I24)</f>
        <v>2056483.9205</v>
      </c>
    </row>
    <row r="25" ht="15" customHeight="1">
      <c r="A25" s="218"/>
      <c r="B25" t="s" s="219">
        <f>CONCATENATE(S224," ",T$225)</f>
        <v>288</v>
      </c>
      <c r="C25" s="220">
        <f>LOOKUP($B25,'PlusGroup'!B2:B1489,'PlusGroup'!A2:A1489)</f>
        <v>22</v>
      </c>
      <c r="D25" s="221">
        <f>LOOKUP($B25,'PlusGroup'!B2:B1489,'PlusGroup'!E2:E1489)</f>
        <v>4826843</v>
      </c>
      <c r="E25" s="220">
        <f>LOOKUP($B25,'PlusGroup'!B2:B1489,'PlusGroup'!J2:J1489)</f>
        <v>17</v>
      </c>
      <c r="F25" s="222">
        <f>LOOKUP($B25,'PlusGroup'!B2:B1489,'PlusGroup'!H2:H1489)</f>
        <v>4021909</v>
      </c>
      <c r="G25" s="222">
        <f>R132</f>
        <v>1826431</v>
      </c>
      <c r="H25" s="222">
        <v>120000</v>
      </c>
      <c r="I25" s="222">
        <v>300000</v>
      </c>
      <c r="J25" s="223">
        <f>((D25-F25)*0.4+F25)-SUM(G25:I25)</f>
        <v>2097451.6</v>
      </c>
    </row>
    <row r="26" ht="15" customHeight="1">
      <c r="A26" s="232"/>
      <c r="B26" t="s" s="213">
        <f>CONCATENATE(S225," ",T$225)</f>
        <v>292</v>
      </c>
      <c r="C26" s="214">
        <f>LOOKUP($B26,'PlusGroup'!B2:B1489,'PlusGroup'!A2:A1489)</f>
        <v>15</v>
      </c>
      <c r="D26" s="215">
        <f>LOOKUP($B26,'PlusGroup'!B2:B1489,'PlusGroup'!E2:E1489)</f>
        <v>3084367</v>
      </c>
      <c r="E26" s="214">
        <f>LOOKUP($B26,'PlusGroup'!B2:B1489,'PlusGroup'!J2:J1489)</f>
        <v>12</v>
      </c>
      <c r="F26" s="216">
        <f>LOOKUP($B26,'PlusGroup'!B2:B1489,'PlusGroup'!H2:H1489)</f>
        <v>2011083</v>
      </c>
      <c r="G26" s="216">
        <f>R133</f>
        <v>1836431</v>
      </c>
      <c r="H26" s="216">
        <v>120000</v>
      </c>
      <c r="I26" s="216">
        <v>300000</v>
      </c>
      <c r="J26" s="217">
        <f>((D26-F26)*0.4+F26)-SUM(G26:I26)</f>
        <v>183965.6000000001</v>
      </c>
    </row>
    <row r="27" ht="15" customHeight="1">
      <c r="A27" s="218"/>
      <c r="B27" t="s" s="219">
        <f>CONCATENATE(S226," ",T$225)</f>
        <v>297</v>
      </c>
      <c r="C27" s="220">
        <f>LOOKUP($B27,'PlusGroup'!B2:B1489,'PlusGroup'!A2:A1489)</f>
        <v>21</v>
      </c>
      <c r="D27" s="221">
        <f>LOOKUP($B27,'PlusGroup'!B2:B1489,'PlusGroup'!E2:E1489)</f>
        <v>5549037.0236</v>
      </c>
      <c r="E27" s="220">
        <f>LOOKUP($B27,'PlusGroup'!B2:B1489,'PlusGroup'!J2:J1489)</f>
        <v>15</v>
      </c>
      <c r="F27" s="222">
        <f>LOOKUP($B27,'PlusGroup'!B2:B1489,'PlusGroup'!H2:H1489)</f>
        <v>3648553.0236</v>
      </c>
      <c r="G27" s="222">
        <f>R134</f>
        <v>1800919</v>
      </c>
      <c r="H27" s="222">
        <v>120000</v>
      </c>
      <c r="I27" s="222">
        <v>300000</v>
      </c>
      <c r="J27" s="223">
        <f>((D27-F27)*0.4+F27)-SUM(G27:I27)</f>
        <v>2187827.623600001</v>
      </c>
    </row>
    <row r="28" ht="15" customHeight="1">
      <c r="A28" s="232"/>
      <c r="B28" t="s" s="213">
        <f>CONCATENATE(S227," ",T$225)</f>
        <v>304</v>
      </c>
      <c r="C28" s="214">
        <f>LOOKUP($B28,'PlusGroup'!B2:B1489,'PlusGroup'!A2:A1489)</f>
        <v>22</v>
      </c>
      <c r="D28" s="215">
        <f>LOOKUP($B28,'PlusGroup'!B2:B1489,'PlusGroup'!E2:E1489)</f>
        <v>4590676</v>
      </c>
      <c r="E28" s="214">
        <f>LOOKUP($B28,'PlusGroup'!B2:B1489,'PlusGroup'!J2:J1489)</f>
        <v>15</v>
      </c>
      <c r="F28" s="216">
        <f>LOOKUP($B28,'PlusGroup'!B2:B1489,'PlusGroup'!H2:H1489)</f>
        <v>3263622</v>
      </c>
      <c r="G28" s="216">
        <f>R135</f>
        <v>1921611</v>
      </c>
      <c r="H28" s="216">
        <v>120000</v>
      </c>
      <c r="I28" s="216">
        <v>300000</v>
      </c>
      <c r="J28" s="217">
        <f>((D28-F28)*0.4+F28)-SUM(G28:I28)</f>
        <v>1452832.6</v>
      </c>
    </row>
    <row r="29" ht="15" customHeight="1">
      <c r="A29" s="218"/>
      <c r="B29" t="s" s="219">
        <f>CONCATENATE(S228," ",T$225)</f>
        <v>306</v>
      </c>
      <c r="C29" s="220">
        <f>LOOKUP($B29,'PlusGroup'!B2:B1489,'PlusGroup'!A2:A1489)</f>
        <v>15</v>
      </c>
      <c r="D29" s="221">
        <f>LOOKUP($B29,'PlusGroup'!B2:B1489,'PlusGroup'!E2:E1489)</f>
        <v>6540888</v>
      </c>
      <c r="E29" s="220">
        <f>LOOKUP($B29,'PlusGroup'!B2:B1489,'PlusGroup'!J2:J1489)</f>
        <v>14</v>
      </c>
      <c r="F29" s="222">
        <f>LOOKUP($B29,'PlusGroup'!B2:B1489,'PlusGroup'!H2:H1489)</f>
        <v>2906138</v>
      </c>
      <c r="G29" s="222">
        <f>R136</f>
        <v>1946611</v>
      </c>
      <c r="H29" s="222">
        <v>120000</v>
      </c>
      <c r="I29" s="222">
        <f t="shared" si="180" ref="I29:I31">350000+380000+275000+225000+1500000</f>
        <v>2730000</v>
      </c>
      <c r="J29" s="223">
        <f>((D29-F29)*0.4+F29)-SUM(G29:I29)</f>
        <v>-436573</v>
      </c>
    </row>
    <row r="30" ht="15" customHeight="1">
      <c r="A30" s="232"/>
      <c r="B30" t="s" s="213">
        <f>CONCATENATE(S229," ",T$225)</f>
        <v>315</v>
      </c>
      <c r="C30" s="214">
        <f>LOOKUP($B30,'PlusGroup'!B2:B1489,'PlusGroup'!A2:A1489)</f>
        <v>22</v>
      </c>
      <c r="D30" s="215">
        <f>LOOKUP($B30,'PlusGroup'!B2:B1489,'PlusGroup'!E2:E1489)</f>
        <v>9304746</v>
      </c>
      <c r="E30" s="214">
        <f>LOOKUP($B30,'PlusGroup'!B2:B1489,'PlusGroup'!J2:J1489)</f>
        <v>16</v>
      </c>
      <c r="F30" s="216">
        <f>LOOKUP($B30,'PlusGroup'!B2:B1489,'PlusGroup'!H2:H1489)</f>
        <v>2993092</v>
      </c>
      <c r="G30" s="216">
        <f>R137</f>
        <v>1946611</v>
      </c>
      <c r="H30" s="216">
        <v>120000</v>
      </c>
      <c r="I30" s="216">
        <f t="shared" si="180"/>
        <v>2730000</v>
      </c>
      <c r="J30" s="217">
        <f>((D30-F30)*0.4+F30)-SUM(G30:I30)</f>
        <v>721142.5999999996</v>
      </c>
    </row>
    <row r="31" ht="15" customHeight="1">
      <c r="A31" s="218"/>
      <c r="B31" t="s" s="219">
        <f>CONCATENATE(S230," ",T$225)</f>
        <v>324</v>
      </c>
      <c r="C31" s="220">
        <f>LOOKUP($B31,'PlusGroup'!B2:B1489,'PlusGroup'!A2:A1489)</f>
        <v>23</v>
      </c>
      <c r="D31" s="221">
        <f>LOOKUP($B31,'PlusGroup'!B2:B1489,'PlusGroup'!E2:E1489)</f>
        <v>11737808</v>
      </c>
      <c r="E31" s="220">
        <f>LOOKUP($B31,'PlusGroup'!B2:B1489,'PlusGroup'!J2:J1489)</f>
        <v>16</v>
      </c>
      <c r="F31" s="222">
        <f>LOOKUP($B31,'PlusGroup'!B2:B1489,'PlusGroup'!H2:H1489)</f>
        <v>3816321</v>
      </c>
      <c r="G31" s="222">
        <f>R138</f>
        <v>1946611</v>
      </c>
      <c r="H31" s="222">
        <v>120000</v>
      </c>
      <c r="I31" s="222">
        <f t="shared" si="180"/>
        <v>2730000</v>
      </c>
      <c r="J31" s="223">
        <f>((D31-F31)*0.4+F31)-SUM(G31:I31)</f>
        <v>2188304.800000001</v>
      </c>
    </row>
    <row r="32" ht="15.5" customHeight="1">
      <c r="A32" s="224"/>
      <c r="B32" t="s" s="213">
        <f>CONCATENATE(S231," ",T$225)</f>
        <v>326</v>
      </c>
      <c r="C32" s="214">
        <f>LOOKUP($B32,'PlusGroup'!B2:B1489,'PlusGroup'!A2:A1489)</f>
        <v>1</v>
      </c>
      <c r="D32" s="215">
        <f>LOOKUP($B32,'PlusGroup'!B2:B1489,'PlusGroup'!E2:E1489)</f>
        <v>2886000</v>
      </c>
      <c r="E32" s="214">
        <f>LOOKUP($B32,'PlusGroup'!B2:B1489,'PlusGroup'!J2:J1489)</f>
        <v>0</v>
      </c>
      <c r="F32" s="216">
        <f>LOOKUP($B32,'PlusGroup'!B2:B1489,'PlusGroup'!H2:H1489)</f>
        <v>0</v>
      </c>
      <c r="G32" s="216">
        <f>R139</f>
        <v>1946611</v>
      </c>
      <c r="H32" s="216">
        <v>120000</v>
      </c>
      <c r="I32" s="216">
        <f t="shared" si="204" ref="I32:I67">350000+380000+275000+225000</f>
        <v>1230000</v>
      </c>
      <c r="J32" s="217">
        <f>((D32-F32)*0.4+F32)-SUM(G32:I32)</f>
        <v>-2142211</v>
      </c>
    </row>
    <row r="33" ht="16" customHeight="1">
      <c r="A33" s="225"/>
      <c r="B33" s="226"/>
      <c r="C33" s="227">
        <f>SUM(C21:C32)</f>
        <v>237</v>
      </c>
      <c r="D33" s="228">
        <f>SUM(D21:D32)</f>
        <v>80137461.98799999</v>
      </c>
      <c r="E33" s="227">
        <f>SUM(E21:E32)</f>
        <v>166</v>
      </c>
      <c r="F33" s="229">
        <f>SUM(F21:F32)</f>
        <v>33621410.70110001</v>
      </c>
      <c r="G33" s="229">
        <f>SUM(G21:G32)</f>
        <v>23387662</v>
      </c>
      <c r="H33" s="229">
        <f>SUM(H21:H32)</f>
        <v>1485000</v>
      </c>
      <c r="I33" s="229">
        <f>SUM(I21:I32)</f>
        <v>11820000</v>
      </c>
      <c r="J33" s="230">
        <f>SUM(J21:J32)</f>
        <v>15535169.21586</v>
      </c>
    </row>
    <row r="34" ht="15.5" customHeight="1">
      <c r="A34" s="231">
        <v>2013</v>
      </c>
      <c r="B34" t="s" s="213">
        <f>CONCATENATE(S220," ",T$226)</f>
        <v>345</v>
      </c>
      <c r="C34" s="214">
        <f>LOOKUP($B34,'PlusGroup'!B2:B1489,'PlusGroup'!A2:A1489)</f>
        <v>50</v>
      </c>
      <c r="D34" s="215">
        <f>LOOKUP($B34,'PlusGroup'!B2:B1489,'PlusGroup'!E2:E1489)</f>
        <v>13267075</v>
      </c>
      <c r="E34" s="214">
        <f>LOOKUP($B34,'PlusGroup'!B2:B1489,'PlusGroup'!J2:J1489)</f>
        <v>32</v>
      </c>
      <c r="F34" s="216">
        <f>LOOKUP($B34,'PlusGroup'!B2:B1489,'PlusGroup'!H2:H1489)</f>
        <v>5885961</v>
      </c>
      <c r="G34" s="216">
        <f>R141</f>
        <v>2046611</v>
      </c>
      <c r="H34" s="216">
        <v>120000</v>
      </c>
      <c r="I34" s="216">
        <f t="shared" si="204"/>
        <v>1230000</v>
      </c>
      <c r="J34" s="217">
        <f>((D34-F34)*0.4+F34)-SUM(G34:I34)</f>
        <v>5441795.6</v>
      </c>
    </row>
    <row r="35" ht="15" customHeight="1">
      <c r="A35" s="218"/>
      <c r="B35" t="s" s="219">
        <f>CONCATENATE(S221," ",T$226)</f>
        <v>351</v>
      </c>
      <c r="C35" s="220">
        <f>LOOKUP($B35,'PlusGroup'!B2:B1489,'PlusGroup'!A2:A1489)</f>
        <v>16</v>
      </c>
      <c r="D35" s="221">
        <f>LOOKUP($B35,'PlusGroup'!B2:B1489,'PlusGroup'!E2:E1489)</f>
        <v>3525847</v>
      </c>
      <c r="E35" s="220">
        <f>LOOKUP($B35,'PlusGroup'!B2:B1489,'PlusGroup'!J2:J1489)</f>
        <v>10</v>
      </c>
      <c r="F35" s="222">
        <f>LOOKUP($B35,'PlusGroup'!B2:B1489,'PlusGroup'!H2:H1489)</f>
        <v>1826990</v>
      </c>
      <c r="G35" s="222">
        <f>R142</f>
        <v>2046611</v>
      </c>
      <c r="H35" s="222">
        <v>120000</v>
      </c>
      <c r="I35" s="222">
        <f t="shared" si="204"/>
        <v>1230000</v>
      </c>
      <c r="J35" s="223">
        <f>((D35-F35)*0.4+F35)-SUM(G35:I35)</f>
        <v>-890078.2000000002</v>
      </c>
    </row>
    <row r="36" ht="15" customHeight="1">
      <c r="A36" s="232"/>
      <c r="B36" t="s" s="213">
        <f>CONCATENATE(S222," ",T$226)</f>
        <v>359</v>
      </c>
      <c r="C36" s="214">
        <f>LOOKUP($B36,'PlusGroup'!B2:B1489,'PlusGroup'!A2:A1489)</f>
        <v>28</v>
      </c>
      <c r="D36" s="215">
        <f>LOOKUP($B36,'PlusGroup'!B2:B1489,'PlusGroup'!E2:E1489)</f>
        <v>10180602</v>
      </c>
      <c r="E36" s="214">
        <f>LOOKUP($B36,'PlusGroup'!B2:B1489,'PlusGroup'!J2:J1489)</f>
        <v>22</v>
      </c>
      <c r="F36" s="216">
        <f>LOOKUP($B36,'PlusGroup'!B2:B1489,'PlusGroup'!H2:H1489)</f>
        <v>5517519</v>
      </c>
      <c r="G36" s="216">
        <f>R143</f>
        <v>2091611</v>
      </c>
      <c r="H36" s="216">
        <v>120000</v>
      </c>
      <c r="I36" s="216">
        <f t="shared" si="204"/>
        <v>1230000</v>
      </c>
      <c r="J36" s="217">
        <f>((D36-F36)*0.4+F36)-SUM(G36:I36)</f>
        <v>3941141.2</v>
      </c>
    </row>
    <row r="37" ht="15" customHeight="1">
      <c r="A37" s="218"/>
      <c r="B37" t="s" s="219">
        <f>CONCATENATE(S223," ",T$226)</f>
        <v>364</v>
      </c>
      <c r="C37" s="220">
        <f>LOOKUP($B37,'PlusGroup'!B2:B1489,'PlusGroup'!A2:A1489)</f>
        <v>13</v>
      </c>
      <c r="D37" s="221">
        <f>LOOKUP($B37,'PlusGroup'!B2:B1489,'PlusGroup'!E2:E1489)</f>
        <v>3080095</v>
      </c>
      <c r="E37" s="220">
        <f>LOOKUP($B37,'PlusGroup'!B2:B1489,'PlusGroup'!J2:J1489)</f>
        <v>10</v>
      </c>
      <c r="F37" s="222">
        <f>LOOKUP($B37,'PlusGroup'!B2:B1489,'PlusGroup'!H2:H1489)</f>
        <v>2240095</v>
      </c>
      <c r="G37" s="222">
        <f>R144</f>
        <v>2091611</v>
      </c>
      <c r="H37" s="222">
        <v>120000</v>
      </c>
      <c r="I37" s="222">
        <f t="shared" si="204"/>
        <v>1230000</v>
      </c>
      <c r="J37" s="223">
        <f>((D37-F37)*0.4+F37)-SUM(G37:I37)</f>
        <v>-865516</v>
      </c>
    </row>
    <row r="38" ht="15" customHeight="1">
      <c r="A38" s="232"/>
      <c r="B38" t="s" s="213">
        <f>CONCATENATE(S224," ",T$226)</f>
        <v>369</v>
      </c>
      <c r="C38" s="214">
        <f>LOOKUP($B38,'PlusGroup'!B2:B1489,'PlusGroup'!A2:A1489)</f>
        <v>25</v>
      </c>
      <c r="D38" s="215">
        <f>LOOKUP($B38,'PlusGroup'!B2:B1489,'PlusGroup'!E2:E1489)</f>
        <v>4880175</v>
      </c>
      <c r="E38" s="214">
        <f>LOOKUP($B38,'PlusGroup'!B2:B1489,'PlusGroup'!J2:J1489)</f>
        <v>21</v>
      </c>
      <c r="F38" s="216">
        <f>LOOKUP($B38,'PlusGroup'!B2:B1489,'PlusGroup'!H2:H1489)</f>
        <v>4007655</v>
      </c>
      <c r="G38" s="216">
        <f>R145</f>
        <v>2091611</v>
      </c>
      <c r="H38" s="216">
        <v>120000</v>
      </c>
      <c r="I38" s="216">
        <f t="shared" si="204"/>
        <v>1230000</v>
      </c>
      <c r="J38" s="217">
        <f>((D38-F38)*0.4+F38)-SUM(G38:I38)</f>
        <v>915052</v>
      </c>
    </row>
    <row r="39" ht="15" customHeight="1">
      <c r="A39" s="218"/>
      <c r="B39" t="s" s="219">
        <f>CONCATENATE(S225," ",T$226)</f>
        <v>380</v>
      </c>
      <c r="C39" s="220">
        <f>LOOKUP($B39,'PlusGroup'!B2:B1489,'PlusGroup'!A2:A1489)</f>
        <v>27</v>
      </c>
      <c r="D39" s="221">
        <f>LOOKUP($B39,'PlusGroup'!B2:B1489,'PlusGroup'!E2:E1489)</f>
        <v>10285095</v>
      </c>
      <c r="E39" s="220">
        <f>LOOKUP($B39,'PlusGroup'!B2:B1489,'PlusGroup'!J2:J1489)</f>
        <v>16</v>
      </c>
      <c r="F39" s="222">
        <f>LOOKUP($B39,'PlusGroup'!B2:B1489,'PlusGroup'!H2:H1489)</f>
        <v>2086665</v>
      </c>
      <c r="G39" s="222">
        <f>R146</f>
        <v>2091611</v>
      </c>
      <c r="H39" s="222">
        <v>120000</v>
      </c>
      <c r="I39" s="222">
        <f t="shared" si="204"/>
        <v>1230000</v>
      </c>
      <c r="J39" s="223">
        <f>((D39-F39)*0.4+F39)-SUM(G39:I39)</f>
        <v>1924426</v>
      </c>
    </row>
    <row r="40" ht="15" customHeight="1">
      <c r="A40" s="232"/>
      <c r="B40" t="s" s="213">
        <f>CONCATENATE(S226," ",T$226)</f>
        <v>386</v>
      </c>
      <c r="C40" s="214">
        <f>LOOKUP($B40,'PlusGroup'!B2:B1489,'PlusGroup'!A2:A1489)</f>
        <v>19</v>
      </c>
      <c r="D40" s="215">
        <f>LOOKUP($B40,'PlusGroup'!B2:B1489,'PlusGroup'!E2:E1489)</f>
        <v>3672155</v>
      </c>
      <c r="E40" s="214">
        <f>LOOKUP($B40,'PlusGroup'!B2:B1489,'PlusGroup'!J2:J1489)</f>
        <v>17</v>
      </c>
      <c r="F40" s="216">
        <f>LOOKUP($B40,'PlusGroup'!B2:B1489,'PlusGroup'!H2:H1489)</f>
        <v>2919155</v>
      </c>
      <c r="G40" s="216">
        <f>R147</f>
        <v>2091611</v>
      </c>
      <c r="H40" s="216">
        <v>120000</v>
      </c>
      <c r="I40" s="216">
        <f t="shared" si="204"/>
        <v>1230000</v>
      </c>
      <c r="J40" s="217">
        <f>((D40-F40)*0.4+F40)-SUM(G40:I40)</f>
        <v>-221256</v>
      </c>
    </row>
    <row r="41" ht="15" customHeight="1">
      <c r="A41" s="218"/>
      <c r="B41" t="s" s="219">
        <f>CONCATENATE(S227," ",T$226)</f>
        <v>406</v>
      </c>
      <c r="C41" s="220">
        <f>LOOKUP($B41,'PlusGroup'!B2:B1489,'PlusGroup'!A2:A1489)</f>
        <v>37</v>
      </c>
      <c r="D41" s="221">
        <f>LOOKUP($B41,'PlusGroup'!B2:B1489,'PlusGroup'!E2:E1489)</f>
        <v>12220222</v>
      </c>
      <c r="E41" s="220">
        <f>LOOKUP($B41,'PlusGroup'!B2:B1489,'PlusGroup'!J2:J1489)</f>
        <v>34</v>
      </c>
      <c r="F41" s="222">
        <f>LOOKUP($B41,'PlusGroup'!B2:B1489,'PlusGroup'!H2:H1489)</f>
        <v>11407222</v>
      </c>
      <c r="G41" s="222">
        <f>R148</f>
        <v>2091611</v>
      </c>
      <c r="H41" s="222">
        <v>120000</v>
      </c>
      <c r="I41" s="222">
        <f t="shared" si="204"/>
        <v>1230000</v>
      </c>
      <c r="J41" s="223">
        <f>((D41-F41)*0.4+F41)-SUM(G41:I41)</f>
        <v>8290811</v>
      </c>
    </row>
    <row r="42" ht="15" customHeight="1">
      <c r="A42" s="232"/>
      <c r="B42" t="s" s="213">
        <f>CONCATENATE(S228," ",T$226)</f>
        <v>410</v>
      </c>
      <c r="C42" s="214">
        <f>LOOKUP($B42,'PlusGroup'!B2:B1489,'PlusGroup'!A2:A1489)</f>
        <v>21</v>
      </c>
      <c r="D42" s="215">
        <f>LOOKUP($B42,'PlusGroup'!B2:B1489,'PlusGroup'!E2:E1489)</f>
        <v>3854989</v>
      </c>
      <c r="E42" s="214">
        <f>LOOKUP($B42,'PlusGroup'!B2:B1489,'PlusGroup'!J2:J1489)</f>
        <v>17</v>
      </c>
      <c r="F42" s="216">
        <f>LOOKUP($B42,'PlusGroup'!B2:B1489,'PlusGroup'!H2:H1489)</f>
        <v>2677502</v>
      </c>
      <c r="G42" s="216">
        <f>R149</f>
        <v>2091611</v>
      </c>
      <c r="H42" s="216">
        <v>120000</v>
      </c>
      <c r="I42" s="216">
        <f t="shared" si="204"/>
        <v>1230000</v>
      </c>
      <c r="J42" s="217">
        <f>((D42-F42)*0.4+F42)-SUM(G42:I42)</f>
        <v>-293114.2000000002</v>
      </c>
    </row>
    <row r="43" ht="15" customHeight="1">
      <c r="A43" s="218"/>
      <c r="B43" t="s" s="219">
        <f>CONCATENATE(S229," ",T$226)</f>
        <v>416</v>
      </c>
      <c r="C43" s="220">
        <f>LOOKUP($B43,'PlusGroup'!B2:B1489,'PlusGroup'!A2:A1489)</f>
        <v>22</v>
      </c>
      <c r="D43" s="221">
        <f>LOOKUP($B43,'PlusGroup'!B2:B1489,'PlusGroup'!E2:E1489)</f>
        <v>4629667</v>
      </c>
      <c r="E43" s="220">
        <f>LOOKUP($B43,'PlusGroup'!B2:B1489,'PlusGroup'!J2:J1489)</f>
        <v>17</v>
      </c>
      <c r="F43" s="222">
        <f>LOOKUP($B43,'PlusGroup'!B2:B1489,'PlusGroup'!H2:H1489)</f>
        <v>3841028</v>
      </c>
      <c r="G43" s="222">
        <f>R150</f>
        <v>2091611</v>
      </c>
      <c r="H43" s="222">
        <v>120000</v>
      </c>
      <c r="I43" s="222">
        <f t="shared" si="204"/>
        <v>1230000</v>
      </c>
      <c r="J43" s="223">
        <f>((D43-F43)*0.4+F43)-SUM(G43:I43)</f>
        <v>714872.6000000001</v>
      </c>
    </row>
    <row r="44" ht="15" customHeight="1">
      <c r="A44" s="232"/>
      <c r="B44" t="s" s="213">
        <f>CONCATENATE(S230," ",T$226)</f>
        <v>425</v>
      </c>
      <c r="C44" s="214">
        <f>LOOKUP($B44,'PlusGroup'!B2:B1489,'PlusGroup'!A2:A1489)</f>
        <v>29</v>
      </c>
      <c r="D44" s="215">
        <f>LOOKUP($B44,'PlusGroup'!B2:B1489,'PlusGroup'!E2:E1489)</f>
        <v>6942001</v>
      </c>
      <c r="E44" s="214">
        <f>LOOKUP($B44,'PlusGroup'!B2:B1489,'PlusGroup'!J2:J1489)</f>
        <v>21</v>
      </c>
      <c r="F44" s="216">
        <f>LOOKUP($B44,'PlusGroup'!B2:B1489,'PlusGroup'!H2:H1489)</f>
        <v>4147923</v>
      </c>
      <c r="G44" s="216">
        <f>R151</f>
        <v>1965194</v>
      </c>
      <c r="H44" s="216">
        <v>120000</v>
      </c>
      <c r="I44" s="216">
        <f t="shared" si="204"/>
        <v>1230000</v>
      </c>
      <c r="J44" s="217">
        <f>((D44-F44)*0.4+F44)-SUM(G44:I44)</f>
        <v>1950360.2</v>
      </c>
    </row>
    <row r="45" ht="15.5" customHeight="1">
      <c r="A45" s="233"/>
      <c r="B45" t="s" s="219">
        <f>CONCATENATE(S231," ",T$226)</f>
        <v>444</v>
      </c>
      <c r="C45" s="220">
        <f>LOOKUP($B45,'PlusGroup'!B2:B1489,'PlusGroup'!A2:A1489)</f>
        <v>31</v>
      </c>
      <c r="D45" s="221">
        <f>LOOKUP($B45,'PlusGroup'!B2:B1489,'PlusGroup'!E2:E1489)</f>
        <v>4935035</v>
      </c>
      <c r="E45" s="220">
        <f>LOOKUP($B45,'PlusGroup'!B2:B1489,'PlusGroup'!J2:J1489)</f>
        <v>30</v>
      </c>
      <c r="F45" s="222">
        <f>LOOKUP($B45,'PlusGroup'!B2:B1489,'PlusGroup'!H2:H1489)</f>
        <v>3604577</v>
      </c>
      <c r="G45" s="222">
        <f>R152</f>
        <v>2015195</v>
      </c>
      <c r="H45" s="222">
        <v>120000</v>
      </c>
      <c r="I45" s="222">
        <f t="shared" si="204"/>
        <v>1230000</v>
      </c>
      <c r="J45" s="223">
        <f>((D45-F45)*0.4+F45)-SUM(G45:I45)</f>
        <v>771565.2000000002</v>
      </c>
    </row>
    <row r="46" ht="16" customHeight="1">
      <c r="A46" s="225"/>
      <c r="B46" s="226"/>
      <c r="C46" s="227">
        <f>SUM(C34:C45)</f>
        <v>318</v>
      </c>
      <c r="D46" s="228">
        <f>SUM(D34:D45)</f>
        <v>81472958</v>
      </c>
      <c r="E46" s="227">
        <f>SUM(E34:E45)</f>
        <v>247</v>
      </c>
      <c r="F46" s="229">
        <f>SUM(F34:F45)</f>
        <v>50162292</v>
      </c>
      <c r="G46" s="229">
        <f>SUM(G34:G45)</f>
        <v>24806499</v>
      </c>
      <c r="H46" s="229">
        <f>SUM(H34:H45)</f>
        <v>1440000</v>
      </c>
      <c r="I46" s="229">
        <f>SUM(I34:I45)</f>
        <v>14760000</v>
      </c>
      <c r="J46" s="230">
        <f>SUM(J34:J45)</f>
        <v>21680059.4</v>
      </c>
    </row>
    <row r="47" ht="15.5" customHeight="1">
      <c r="A47" s="212">
        <v>2014</v>
      </c>
      <c r="B47" t="s" s="219">
        <f>CONCATENATE(S220," ",T$227)</f>
        <v>460</v>
      </c>
      <c r="C47" s="220">
        <f>LOOKUP($B47,'PlusGroup'!B2:B1489,'PlusGroup'!A2:A1489)</f>
        <v>33</v>
      </c>
      <c r="D47" s="221">
        <f>LOOKUP($B47,'PlusGroup'!B2:B1489,'PlusGroup'!E2:E1489)</f>
        <v>12098207</v>
      </c>
      <c r="E47" s="220">
        <f>LOOKUP($B47,'PlusGroup'!B2:B1489,'PlusGroup'!J2:J1489)</f>
        <v>19</v>
      </c>
      <c r="F47" s="222">
        <f>LOOKUP($B47,'PlusGroup'!B2:B1489,'PlusGroup'!H2:H1489)</f>
        <v>3910747</v>
      </c>
      <c r="G47" s="222">
        <f>R154</f>
        <v>1756343</v>
      </c>
      <c r="H47" s="222">
        <v>85000</v>
      </c>
      <c r="I47" s="222">
        <f t="shared" si="204"/>
        <v>1230000</v>
      </c>
      <c r="J47" s="223">
        <f>((D47-F47)*0.4+F47)-SUM(G47:I47)</f>
        <v>4114388</v>
      </c>
    </row>
    <row r="48" ht="15" customHeight="1">
      <c r="A48" s="232"/>
      <c r="B48" t="s" s="213">
        <f>CONCATENATE(S221," ",T$227)</f>
        <v>470</v>
      </c>
      <c r="C48" s="214">
        <f>LOOKUP($B48,'PlusGroup'!B2:B1489,'PlusGroup'!A2:A1489)</f>
        <v>22</v>
      </c>
      <c r="D48" s="215">
        <f>LOOKUP($B48,'PlusGroup'!B2:B1489,'PlusGroup'!E2:E1489)</f>
        <v>4736644</v>
      </c>
      <c r="E48" s="214">
        <f>LOOKUP($B48,'PlusGroup'!B2:B1489,'PlusGroup'!J2:J1489)</f>
        <v>20</v>
      </c>
      <c r="F48" s="216">
        <f>LOOKUP($B48,'PlusGroup'!B2:B1489,'PlusGroup'!H2:H1489)</f>
        <v>4005616</v>
      </c>
      <c r="G48" s="216">
        <f>R155</f>
        <v>1717356</v>
      </c>
      <c r="H48" s="216">
        <v>110000</v>
      </c>
      <c r="I48" s="216">
        <f t="shared" si="204"/>
        <v>1230000</v>
      </c>
      <c r="J48" s="217">
        <f>((D48-F48)*0.4+F48)-SUM(G48:I48)</f>
        <v>1240671.2</v>
      </c>
    </row>
    <row r="49" ht="15" customHeight="1">
      <c r="A49" s="218"/>
      <c r="B49" t="s" s="219">
        <f>CONCATENATE(S222," ",T$227)</f>
        <v>471</v>
      </c>
      <c r="C49" s="220">
        <f>LOOKUP($B49,'PlusGroup'!B2:B1489,'PlusGroup'!A2:A1489)</f>
        <v>0</v>
      </c>
      <c r="D49" s="221">
        <f>LOOKUP($B49,'PlusGroup'!B2:B1489,'PlusGroup'!E2:E1489)</f>
        <v>0</v>
      </c>
      <c r="E49" s="220">
        <f>LOOKUP($B49,'PlusGroup'!B2:B1489,'PlusGroup'!J2:J1489)</f>
        <v>0</v>
      </c>
      <c r="F49" s="222">
        <f>LOOKUP($B49,'PlusGroup'!B2:B1489,'PlusGroup'!H2:H1489)</f>
        <v>0</v>
      </c>
      <c r="G49" s="222">
        <f>R156</f>
        <v>1715185</v>
      </c>
      <c r="H49" s="222">
        <v>110000</v>
      </c>
      <c r="I49" s="222">
        <f t="shared" si="204"/>
        <v>1230000</v>
      </c>
      <c r="J49" s="223">
        <f>((D49-F49)*0.4+F49)-SUM(G49:I49)</f>
        <v>-3055185</v>
      </c>
    </row>
    <row r="50" ht="15" customHeight="1">
      <c r="A50" s="232"/>
      <c r="B50" t="s" s="213">
        <f>CONCATENATE(S223," ",T$227)</f>
        <v>472</v>
      </c>
      <c r="C50" s="214">
        <f>LOOKUP($B50,'PlusGroup'!B2:B1489,'PlusGroup'!A2:A1489)</f>
        <v>0</v>
      </c>
      <c r="D50" s="215">
        <f>LOOKUP($B50,'PlusGroup'!B2:B1489,'PlusGroup'!E2:E1489)</f>
        <v>0</v>
      </c>
      <c r="E50" s="214">
        <f>LOOKUP($B50,'PlusGroup'!B2:B1489,'PlusGroup'!J2:J1489)</f>
        <v>0</v>
      </c>
      <c r="F50" s="216">
        <f>LOOKUP($B50,'PlusGroup'!B2:B1489,'PlusGroup'!H2:H1489)</f>
        <v>0</v>
      </c>
      <c r="G50" s="216">
        <f>R157</f>
        <v>2024118</v>
      </c>
      <c r="H50" s="216">
        <v>125000</v>
      </c>
      <c r="I50" s="216">
        <f t="shared" si="204"/>
        <v>1230000</v>
      </c>
      <c r="J50" s="217">
        <f>((D50-F50)*0.4+F50)-SUM(G50:I50)</f>
        <v>-3379118</v>
      </c>
    </row>
    <row r="51" ht="15" customHeight="1">
      <c r="A51" s="218"/>
      <c r="B51" t="s" s="219">
        <f>CONCATENATE(S224," ",T$227)</f>
        <v>473</v>
      </c>
      <c r="C51" s="220">
        <f>LOOKUP($B51,'PlusGroup'!B2:B1489,'PlusGroup'!A2:A1489)</f>
        <v>0</v>
      </c>
      <c r="D51" s="221">
        <f>LOOKUP($B51,'PlusGroup'!B2:B1489,'PlusGroup'!E2:E1489)</f>
        <v>0</v>
      </c>
      <c r="E51" s="220">
        <f>LOOKUP($B51,'PlusGroup'!B2:B1489,'PlusGroup'!J2:J1489)</f>
        <v>0</v>
      </c>
      <c r="F51" s="222">
        <f>LOOKUP($B51,'PlusGroup'!B2:B1489,'PlusGroup'!H2:H1489)</f>
        <v>0</v>
      </c>
      <c r="G51" s="222">
        <f>R158</f>
        <v>2100579</v>
      </c>
      <c r="H51" s="222">
        <v>125000</v>
      </c>
      <c r="I51" s="222">
        <f t="shared" si="204"/>
        <v>1230000</v>
      </c>
      <c r="J51" s="223">
        <f>((D51-F51)*0.4+F51)-SUM(G51:I51)</f>
        <v>-3455579</v>
      </c>
    </row>
    <row r="52" ht="15" customHeight="1">
      <c r="A52" s="232"/>
      <c r="B52" t="s" s="213">
        <f>CONCATENATE(S225," ",T$227)</f>
        <v>488</v>
      </c>
      <c r="C52" s="214">
        <f>LOOKUP($B52,'PlusGroup'!B2:B1489,'PlusGroup'!A2:A1489)</f>
        <v>10</v>
      </c>
      <c r="D52" s="215">
        <f>LOOKUP($B52,'PlusGroup'!B2:B1489,'PlusGroup'!E2:E1489)</f>
        <v>9712986.172</v>
      </c>
      <c r="E52" s="214">
        <f>LOOKUP($B52,'PlusGroup'!B2:B1489,'PlusGroup'!J2:J1489)</f>
        <v>5</v>
      </c>
      <c r="F52" s="216">
        <f>LOOKUP($B52,'PlusGroup'!B2:B1489,'PlusGroup'!H2:H1489)</f>
        <v>5169916</v>
      </c>
      <c r="G52" s="216">
        <f>R159</f>
        <v>2043896</v>
      </c>
      <c r="H52" s="216">
        <v>125000</v>
      </c>
      <c r="I52" s="216">
        <f t="shared" si="204"/>
        <v>1230000</v>
      </c>
      <c r="J52" s="217">
        <f>((D52-F52)*0.4+F52)-SUM(G52:I52)</f>
        <v>3588248.0688</v>
      </c>
    </row>
    <row r="53" ht="15" customHeight="1">
      <c r="A53" s="218"/>
      <c r="B53" t="s" s="219">
        <f>CONCATENATE(S226," ",T$227)</f>
        <v>489</v>
      </c>
      <c r="C53" s="220">
        <f>LOOKUP($B53,'PlusGroup'!B2:B1489,'PlusGroup'!A2:A1489)</f>
        <v>0</v>
      </c>
      <c r="D53" s="221">
        <f>LOOKUP($B53,'PlusGroup'!B2:B1489,'PlusGroup'!E2:E1489)</f>
        <v>0</v>
      </c>
      <c r="E53" s="220">
        <f>LOOKUP($B53,'PlusGroup'!B2:B1489,'PlusGroup'!J2:J1489)</f>
        <v>0</v>
      </c>
      <c r="F53" s="222">
        <f>LOOKUP($B53,'PlusGroup'!B2:B1489,'PlusGroup'!H2:H1489)</f>
        <v>0</v>
      </c>
      <c r="G53" s="222">
        <f>R160</f>
        <v>2051862</v>
      </c>
      <c r="H53" s="222">
        <v>125000</v>
      </c>
      <c r="I53" s="222">
        <f t="shared" si="204"/>
        <v>1230000</v>
      </c>
      <c r="J53" s="223">
        <f>((D53-F53)*0.4+F53)-SUM(G53:I53)</f>
        <v>-3406862</v>
      </c>
    </row>
    <row r="54" ht="15" customHeight="1">
      <c r="A54" s="232"/>
      <c r="B54" t="s" s="213">
        <f>CONCATENATE(S227," ",T$227)</f>
        <v>545</v>
      </c>
      <c r="C54" s="214">
        <f>LOOKUP($B54,'PlusGroup'!B2:B1489,'PlusGroup'!A2:A1489)</f>
        <v>40</v>
      </c>
      <c r="D54" s="215">
        <f>LOOKUP($B54,'PlusGroup'!B2:B1489,'PlusGroup'!E2:E1489)</f>
        <v>24663071.0181</v>
      </c>
      <c r="E54" s="214">
        <f>LOOKUP($B54,'PlusGroup'!B2:B1489,'PlusGroup'!J2:J1489)</f>
        <v>35</v>
      </c>
      <c r="F54" s="216">
        <f>LOOKUP($B54,'PlusGroup'!B2:B1489,'PlusGroup'!H2:H1489)</f>
        <v>23138816.5181</v>
      </c>
      <c r="G54" s="216">
        <f>R161</f>
        <v>2040294</v>
      </c>
      <c r="H54" s="216">
        <v>125000</v>
      </c>
      <c r="I54" s="216">
        <f t="shared" si="204"/>
        <v>1230000</v>
      </c>
      <c r="J54" s="217">
        <f>((D54-F54)*0.4+F54)-SUM(G54:I54)</f>
        <v>20353224.3181</v>
      </c>
    </row>
    <row r="55" ht="15" customHeight="1">
      <c r="A55" s="218"/>
      <c r="B55" t="s" s="219">
        <f>CONCATENATE(S228," ",T$227)</f>
        <v>754</v>
      </c>
      <c r="C55" s="220">
        <f>LOOKUP($B55,'PlusGroup'!B2:B1489,'PlusGroup'!A2:A1489)</f>
        <v>21</v>
      </c>
      <c r="D55" s="221">
        <f>LOOKUP($B55,'PlusGroup'!B2:B1489,'PlusGroup'!E2:E1489)</f>
        <v>3854989</v>
      </c>
      <c r="E55" s="220">
        <f>LOOKUP($B55,'PlusGroup'!B2:B1489,'PlusGroup'!J2:J1489)</f>
        <v>17</v>
      </c>
      <c r="F55" s="222">
        <f>LOOKUP($B55,'PlusGroup'!B2:B1489,'PlusGroup'!H2:H1489)</f>
        <v>2677502</v>
      </c>
      <c r="G55" s="222">
        <f>R162</f>
        <v>2071141</v>
      </c>
      <c r="H55" s="222">
        <v>125000</v>
      </c>
      <c r="I55" s="222">
        <f t="shared" si="204"/>
        <v>1230000</v>
      </c>
      <c r="J55" s="223">
        <f>((D55-F55)*0.4+F55)-SUM(G55:I55)</f>
        <v>-277644.2000000002</v>
      </c>
    </row>
    <row r="56" ht="15" customHeight="1">
      <c r="A56" s="232"/>
      <c r="B56" t="s" s="213">
        <f>CONCATENATE(S229," ",T$227)</f>
        <v>756</v>
      </c>
      <c r="C56" s="214">
        <f>LOOKUP($B56,'PlusGroup'!B2:B1489,'PlusGroup'!A2:A1489)</f>
        <v>22</v>
      </c>
      <c r="D56" s="215">
        <f>LOOKUP($B56,'PlusGroup'!B2:B1489,'PlusGroup'!E2:E1489)</f>
        <v>4629667</v>
      </c>
      <c r="E56" s="214">
        <f>LOOKUP($B56,'PlusGroup'!B2:B1489,'PlusGroup'!J2:J1489)</f>
        <v>17</v>
      </c>
      <c r="F56" s="216">
        <f>LOOKUP($B56,'PlusGroup'!B2:B1489,'PlusGroup'!H2:H1489)</f>
        <v>3841028</v>
      </c>
      <c r="G56" s="216">
        <f>R163</f>
        <v>2098488</v>
      </c>
      <c r="H56" s="216">
        <v>125000</v>
      </c>
      <c r="I56" s="216">
        <f t="shared" si="204"/>
        <v>1230000</v>
      </c>
      <c r="J56" s="217">
        <f>((D56-F56)*0.4+F56)-SUM(G56:I56)</f>
        <v>702995.6000000001</v>
      </c>
    </row>
    <row r="57" ht="15" customHeight="1">
      <c r="A57" s="218"/>
      <c r="B57" t="s" s="219">
        <f>CONCATENATE(S230," ",T$227)</f>
        <v>595</v>
      </c>
      <c r="C57" s="220">
        <f>LOOKUP($B57,'PlusGroup'!B2:B1489,'PlusGroup'!A2:A1489)</f>
        <v>46</v>
      </c>
      <c r="D57" s="221">
        <f>LOOKUP($B57,'PlusGroup'!B2:B1489,'PlusGroup'!E2:E1489)</f>
        <v>17690282.7613</v>
      </c>
      <c r="E57" s="220">
        <f>LOOKUP($B57,'PlusGroup'!B2:B1489,'PlusGroup'!J2:J1489)</f>
        <v>28</v>
      </c>
      <c r="F57" s="222">
        <f>LOOKUP($B57,'PlusGroup'!B2:B1489,'PlusGroup'!H2:H1489)</f>
        <v>10856108.7613</v>
      </c>
      <c r="G57" s="222">
        <f>R164</f>
        <v>2040294</v>
      </c>
      <c r="H57" s="222">
        <v>125000</v>
      </c>
      <c r="I57" s="222">
        <f t="shared" si="204"/>
        <v>1230000</v>
      </c>
      <c r="J57" s="223">
        <f>((D57-F57)*0.4+F57)-SUM(G57:I57)</f>
        <v>10194484.3613</v>
      </c>
    </row>
    <row r="58" ht="15.5" customHeight="1">
      <c r="A58" s="224"/>
      <c r="B58" t="s" s="213">
        <f>CONCATENATE(S231," ",T$227)</f>
        <v>614</v>
      </c>
      <c r="C58" s="214">
        <f>LOOKUP($B58,'PlusGroup'!B2:B1489,'PlusGroup'!A2:A1489)</f>
        <v>29</v>
      </c>
      <c r="D58" s="215">
        <f>LOOKUP($B58,'PlusGroup'!B2:B1489,'PlusGroup'!E2:E1489)</f>
        <v>13580197</v>
      </c>
      <c r="E58" s="214">
        <f>LOOKUP($B58,'PlusGroup'!B2:B1489,'PlusGroup'!J2:J1489)</f>
        <v>26</v>
      </c>
      <c r="F58" s="216">
        <f>LOOKUP($B58,'PlusGroup'!B2:B1489,'PlusGroup'!H2:H1489)</f>
        <v>8798195</v>
      </c>
      <c r="G58" s="216">
        <f>R165</f>
        <v>2072370</v>
      </c>
      <c r="H58" s="216">
        <v>125000</v>
      </c>
      <c r="I58" s="216">
        <f t="shared" si="204"/>
        <v>1230000</v>
      </c>
      <c r="J58" s="217">
        <f>((D58-F58)*0.4+F58)-SUM(G58:I58)</f>
        <v>7283625.800000001</v>
      </c>
    </row>
    <row r="59" ht="16" customHeight="1">
      <c r="A59" s="225"/>
      <c r="B59" s="226"/>
      <c r="C59" s="227">
        <f>SUM(C47:C58)</f>
        <v>223</v>
      </c>
      <c r="D59" s="228">
        <f>SUM(D47:D58)</f>
        <v>90966043.9514</v>
      </c>
      <c r="E59" s="227">
        <f>SUM(E47:E58)</f>
        <v>167</v>
      </c>
      <c r="F59" s="229">
        <f>SUM(F47:F58)</f>
        <v>62397929.27939999</v>
      </c>
      <c r="G59" s="229">
        <f>SUM(G47:G58)</f>
        <v>23731926</v>
      </c>
      <c r="H59" s="229">
        <f>SUM(H47:H58)</f>
        <v>1430000</v>
      </c>
      <c r="I59" s="229">
        <f>SUM(I47:I58)</f>
        <v>14760000</v>
      </c>
      <c r="J59" s="230">
        <f>SUM(J47:J58)</f>
        <v>33903249.1482</v>
      </c>
    </row>
    <row r="60" ht="15.5" customHeight="1">
      <c r="A60" s="231">
        <v>2015</v>
      </c>
      <c r="B60" t="s" s="213">
        <f>CONCATENATE(S220," ",T$228)</f>
        <v>631</v>
      </c>
      <c r="C60" s="214">
        <f>LOOKUP($B60,'PlusGroup'!B2:B1489,'PlusGroup'!A2:A1489)</f>
        <v>28</v>
      </c>
      <c r="D60" s="215">
        <f>LOOKUP($B60,'PlusGroup'!B2:B1489,'PlusGroup'!E2:E1489)</f>
        <v>7519801</v>
      </c>
      <c r="E60" s="214">
        <f>LOOKUP($B60,'PlusGroup'!B2:B1489,'PlusGroup'!J2:J1489)</f>
        <v>15</v>
      </c>
      <c r="F60" s="216">
        <f>LOOKUP($B60,'PlusGroup'!B2:B1489,'PlusGroup'!H2:H1489)</f>
        <v>1490176</v>
      </c>
      <c r="G60" s="216">
        <f>R167</f>
        <v>2076593</v>
      </c>
      <c r="H60" s="216">
        <v>125000</v>
      </c>
      <c r="I60" s="216">
        <f t="shared" si="204"/>
        <v>1230000</v>
      </c>
      <c r="J60" s="217">
        <f>((D60-F60)*0.4+F60)-SUM(G60:I60)</f>
        <v>470433</v>
      </c>
    </row>
    <row r="61" ht="15" customHeight="1">
      <c r="A61" s="218"/>
      <c r="B61" t="s" s="219">
        <f>CONCATENATE(S221," ",T$228)</f>
        <v>636</v>
      </c>
      <c r="C61" s="220">
        <f>LOOKUP($B61,'PlusGroup'!B2:B1489,'PlusGroup'!A2:A1489)</f>
        <v>4</v>
      </c>
      <c r="D61" s="221">
        <f>LOOKUP($B61,'PlusGroup'!B2:B1489,'PlusGroup'!E2:E1489)</f>
        <v>3573300</v>
      </c>
      <c r="E61" s="220">
        <f>LOOKUP($B61,'PlusGroup'!B2:B1489,'PlusGroup'!J2:J1489)</f>
        <v>0</v>
      </c>
      <c r="F61" s="222">
        <f>LOOKUP($B61,'PlusGroup'!B2:B1489,'PlusGroup'!H2:H1489)</f>
        <v>0</v>
      </c>
      <c r="G61" s="222">
        <f>R168</f>
        <v>2288266</v>
      </c>
      <c r="H61" s="222">
        <v>125000</v>
      </c>
      <c r="I61" s="222">
        <f t="shared" si="204"/>
        <v>1230000</v>
      </c>
      <c r="J61" s="223">
        <f>((D61-F61)*0.4+F61)-SUM(G61:I61)</f>
        <v>-2213946</v>
      </c>
    </row>
    <row r="62" ht="15" customHeight="1">
      <c r="A62" s="232"/>
      <c r="B62" t="s" s="213">
        <f>CONCATENATE(S222," ",T$228)</f>
        <v>637</v>
      </c>
      <c r="C62" s="214">
        <f>LOOKUP($B62,'PlusGroup'!B2:B1489,'PlusGroup'!A2:A1489)</f>
        <v>0</v>
      </c>
      <c r="D62" s="215">
        <f>LOOKUP($B62,'PlusGroup'!B2:B1489,'PlusGroup'!E2:E1489)</f>
        <v>0</v>
      </c>
      <c r="E62" s="214">
        <f>LOOKUP($B62,'PlusGroup'!B2:B1489,'PlusGroup'!J2:J1489)</f>
        <v>0</v>
      </c>
      <c r="F62" s="216">
        <f>LOOKUP($B62,'PlusGroup'!B2:B1489,'PlusGroup'!H2:H1489)</f>
        <v>0</v>
      </c>
      <c r="G62" s="216">
        <f>R169</f>
        <v>2295963</v>
      </c>
      <c r="H62" s="216">
        <v>125000</v>
      </c>
      <c r="I62" s="216">
        <f t="shared" si="204"/>
        <v>1230000</v>
      </c>
      <c r="J62" s="217">
        <f>((D62-F62)*0.4+F62)-SUM(G62:I62)</f>
        <v>-3650963</v>
      </c>
    </row>
    <row r="63" ht="15" customHeight="1">
      <c r="A63" s="218"/>
      <c r="B63" t="s" s="219">
        <f>CONCATENATE(S223," ",T$228)</f>
        <v>643</v>
      </c>
      <c r="C63" s="220">
        <f>LOOKUP($B63,'PlusGroup'!B2:B1489,'PlusGroup'!A2:A1489)</f>
        <v>3</v>
      </c>
      <c r="D63" s="221">
        <f>LOOKUP($B63,'PlusGroup'!B2:B1489,'PlusGroup'!E2:E1489)</f>
        <v>4381355</v>
      </c>
      <c r="E63" s="220">
        <f>LOOKUP($B63,'PlusGroup'!B2:B1489,'PlusGroup'!J2:J1489)</f>
        <v>3</v>
      </c>
      <c r="F63" s="222">
        <f>LOOKUP($B63,'PlusGroup'!B2:B1489,'PlusGroup'!H2:H1489)</f>
        <v>4381355</v>
      </c>
      <c r="G63" s="222">
        <f>R170</f>
        <v>2211526</v>
      </c>
      <c r="H63" s="222">
        <v>125000</v>
      </c>
      <c r="I63" s="222">
        <f t="shared" si="204"/>
        <v>1230000</v>
      </c>
      <c r="J63" s="223">
        <f>((D63-F63)*0.4+F63)-SUM(G63:I63)</f>
        <v>814829</v>
      </c>
    </row>
    <row r="64" ht="15" customHeight="1">
      <c r="A64" s="232"/>
      <c r="B64" t="s" s="213">
        <f>CONCATENATE(S224," ",T$228)</f>
        <v>650</v>
      </c>
      <c r="C64" s="214">
        <f>LOOKUP($B64,'PlusGroup'!B2:B1489,'PlusGroup'!A2:A1489)</f>
        <v>4</v>
      </c>
      <c r="D64" s="215">
        <f>LOOKUP($B64,'PlusGroup'!B2:B1489,'PlusGroup'!E2:E1489)</f>
        <v>3436939</v>
      </c>
      <c r="E64" s="214">
        <f>LOOKUP($B64,'PlusGroup'!B2:B1489,'PlusGroup'!J2:J1489)</f>
        <v>4</v>
      </c>
      <c r="F64" s="216">
        <f>LOOKUP($B64,'PlusGroup'!B2:B1489,'PlusGroup'!H2:H1489)</f>
        <v>3436939</v>
      </c>
      <c r="G64" s="216">
        <f>R171</f>
        <v>2459246</v>
      </c>
      <c r="H64" s="216">
        <v>125000</v>
      </c>
      <c r="I64" s="216">
        <f t="shared" si="204"/>
        <v>1230000</v>
      </c>
      <c r="J64" s="217">
        <f>((D64-F64)*0.4+F64)-SUM(G64:I64)</f>
        <v>-377307</v>
      </c>
    </row>
    <row r="65" ht="15" customHeight="1">
      <c r="A65" s="218"/>
      <c r="B65" t="s" s="219">
        <f>CONCATENATE(S225," ",T$228)</f>
        <v>685</v>
      </c>
      <c r="C65" s="220">
        <f>LOOKUP($B65,'PlusGroup'!B2:B1489,'PlusGroup'!A2:A1489)</f>
        <v>50</v>
      </c>
      <c r="D65" s="221">
        <f>LOOKUP($B65,'PlusGroup'!B2:B1489,'PlusGroup'!E2:E1489)</f>
        <v>18476643</v>
      </c>
      <c r="E65" s="220">
        <f>LOOKUP($B65,'PlusGroup'!B2:B1489,'PlusGroup'!J2:J1489)</f>
        <v>43</v>
      </c>
      <c r="F65" s="222">
        <f>LOOKUP($B65,'PlusGroup'!B2:B1489,'PlusGroup'!H2:H1489)</f>
        <v>13578611</v>
      </c>
      <c r="G65" s="222">
        <f>R172</f>
        <v>2016689</v>
      </c>
      <c r="H65" s="222">
        <v>125000</v>
      </c>
      <c r="I65" s="222">
        <f t="shared" si="204"/>
        <v>1230000</v>
      </c>
      <c r="J65" s="223">
        <f>((D65-F65)*0.4+F65)-SUM(G65:I65)</f>
        <v>12166134.8</v>
      </c>
    </row>
    <row r="66" ht="15" customHeight="1">
      <c r="A66" s="232"/>
      <c r="B66" t="s" s="213">
        <f>CONCATENATE(S226," ",T$228)</f>
        <v>692</v>
      </c>
      <c r="C66" s="214">
        <f>LOOKUP($B66,'PlusGroup'!B2:B1489,'PlusGroup'!A2:A1489)</f>
        <v>9</v>
      </c>
      <c r="D66" s="215">
        <f>LOOKUP($B66,'PlusGroup'!B2:B1489,'PlusGroup'!E2:E1489)</f>
        <v>3092075</v>
      </c>
      <c r="E66" s="214">
        <f>LOOKUP($B66,'PlusGroup'!B2:B1489,'PlusGroup'!J2:J1489)</f>
        <v>8</v>
      </c>
      <c r="F66" s="216">
        <f>LOOKUP($B66,'PlusGroup'!B2:B1489,'PlusGroup'!H2:H1489)</f>
        <v>3047675</v>
      </c>
      <c r="G66" s="216">
        <f>R173</f>
        <v>1902084</v>
      </c>
      <c r="H66" s="216">
        <v>110000</v>
      </c>
      <c r="I66" s="216">
        <f t="shared" si="204"/>
        <v>1230000</v>
      </c>
      <c r="J66" s="217">
        <f>((D66-F66)*0.4+F66)-SUM(G66:I66)</f>
        <v>-176649</v>
      </c>
    </row>
    <row r="67" ht="15" customHeight="1">
      <c r="A67" s="218"/>
      <c r="B67" t="s" s="219">
        <f>CONCATENATE(S227," ",T$228)</f>
        <v>714</v>
      </c>
      <c r="C67" s="220">
        <f>LOOKUP($B67,'PlusGroup'!B2:B1489,'PlusGroup'!A2:A1489)</f>
        <v>34</v>
      </c>
      <c r="D67" s="221">
        <f>LOOKUP($B67,'PlusGroup'!B2:B1489,'PlusGroup'!E2:E1489)</f>
        <v>10863302</v>
      </c>
      <c r="E67" s="220">
        <f>LOOKUP($B67,'PlusGroup'!B2:B1489,'PlusGroup'!J2:J1489)</f>
        <v>30</v>
      </c>
      <c r="F67" s="222">
        <f>LOOKUP($B67,'PlusGroup'!B2:B1489,'PlusGroup'!H2:H1489)</f>
        <v>8804102</v>
      </c>
      <c r="G67" s="222">
        <f>R174</f>
        <v>2163057</v>
      </c>
      <c r="H67" s="222">
        <v>110000</v>
      </c>
      <c r="I67" s="222">
        <f t="shared" si="204"/>
        <v>1230000</v>
      </c>
      <c r="J67" s="223">
        <f>((D67-F67)*0.4+F67)-SUM(G67:I67)</f>
        <v>6124725</v>
      </c>
    </row>
    <row r="68" ht="15" customHeight="1">
      <c r="A68" s="232"/>
      <c r="B68" t="s" s="213">
        <f>CONCATENATE(S228," ",T$228)</f>
        <v>755</v>
      </c>
      <c r="C68" s="214">
        <f>LOOKUP($B68,'PlusGroup'!B2:B1489,'PlusGroup'!A2:A1489)</f>
        <v>68</v>
      </c>
      <c r="D68" s="215">
        <f>LOOKUP($B68,'PlusGroup'!B2:B1489,'PlusGroup'!E2:E1489)</f>
        <v>21473389</v>
      </c>
      <c r="E68" s="214">
        <f>LOOKUP($B68,'PlusGroup'!B2:B1489,'PlusGroup'!J2:J1489)</f>
        <v>29</v>
      </c>
      <c r="F68" s="216">
        <f>LOOKUP($B68,'PlusGroup'!B2:B1489,'PlusGroup'!H2:H1489)</f>
        <v>11548566</v>
      </c>
      <c r="G68" s="216">
        <f>R175</f>
        <v>2013640</v>
      </c>
      <c r="H68" s="216">
        <v>110000</v>
      </c>
      <c r="I68" s="216">
        <f t="shared" si="492" ref="I68:I69">350000+380000+275000</f>
        <v>1005000</v>
      </c>
      <c r="J68" s="217">
        <f>((D68-F68)*0.4+F68)-SUM(G68:I68)</f>
        <v>12389855.2</v>
      </c>
    </row>
    <row r="69" ht="15" customHeight="1">
      <c r="A69" s="218"/>
      <c r="B69" t="s" s="219">
        <f>CONCATENATE(S229," ",T$228)</f>
        <v>757</v>
      </c>
      <c r="C69" s="220">
        <f>LOOKUP($B69,'PlusGroup'!B2:B1489,'PlusGroup'!A2:A1489)</f>
        <v>0</v>
      </c>
      <c r="D69" s="221">
        <f>LOOKUP($B69,'PlusGroup'!B2:B1489,'PlusGroup'!E2:E1489)</f>
        <v>0</v>
      </c>
      <c r="E69" s="220">
        <f>LOOKUP($B69,'PlusGroup'!B2:B1489,'PlusGroup'!J2:J1489)</f>
        <v>0</v>
      </c>
      <c r="F69" s="222">
        <f>LOOKUP($B69,'PlusGroup'!B2:B1489,'PlusGroup'!H2:H1489)</f>
        <v>0</v>
      </c>
      <c r="G69" s="222">
        <f>R176</f>
        <v>2230145</v>
      </c>
      <c r="H69" s="222">
        <v>125000</v>
      </c>
      <c r="I69" s="222">
        <f t="shared" si="492"/>
        <v>1005000</v>
      </c>
      <c r="J69" s="223">
        <f>((D69-F69)*0.4+F69)-SUM(G69:I69)</f>
        <v>-3360145</v>
      </c>
    </row>
    <row r="70" ht="15" customHeight="1">
      <c r="A70" s="232"/>
      <c r="B70" t="s" s="213">
        <f>CONCATENATE(S230," ",T$228)</f>
        <v>758</v>
      </c>
      <c r="C70" s="214">
        <f>LOOKUP($B70,'PlusGroup'!B2:B1489,'PlusGroup'!A2:A1489)</f>
        <v>32</v>
      </c>
      <c r="D70" s="215">
        <f>LOOKUP($B70,'PlusGroup'!B2:B1489,'PlusGroup'!E2:E1489)</f>
        <v>10861812</v>
      </c>
      <c r="E70" s="214">
        <f>LOOKUP($B70,'PlusGroup'!B2:B1489,'PlusGroup'!J2:J1489)</f>
        <v>28</v>
      </c>
      <c r="F70" s="216">
        <f>LOOKUP($B70,'PlusGroup'!B2:B1489,'PlusGroup'!H2:H1489)</f>
        <v>9083431</v>
      </c>
      <c r="G70" s="216">
        <f>R177</f>
        <v>1686832</v>
      </c>
      <c r="H70" s="216">
        <v>110000</v>
      </c>
      <c r="I70" s="216">
        <f t="shared" si="508" ref="I70:I94">380000+275000</f>
        <v>655000</v>
      </c>
      <c r="J70" s="217">
        <f>((D70-F70)*0.4+F70)-SUM(G70:I70)</f>
        <v>7342951.4</v>
      </c>
    </row>
    <row r="71" ht="15.5" customHeight="1">
      <c r="A71" s="233"/>
      <c r="B71" t="s" s="219">
        <f>CONCATENATE(S231," ",T$228)</f>
        <v>759</v>
      </c>
      <c r="C71" s="220">
        <f>LOOKUP($B71,'PlusGroup'!B2:B1489,'PlusGroup'!A2:A1489)</f>
        <v>8</v>
      </c>
      <c r="D71" s="221">
        <f>LOOKUP($B71,'PlusGroup'!B2:B1489,'PlusGroup'!E2:E1489)</f>
        <v>5820010</v>
      </c>
      <c r="E71" s="220">
        <f>LOOKUP($B71,'PlusGroup'!B2:B1489,'PlusGroup'!J2:J1489)</f>
        <v>4</v>
      </c>
      <c r="F71" s="222">
        <f>LOOKUP($B71,'PlusGroup'!B2:B1489,'PlusGroup'!H2:H1489)</f>
        <v>1074040</v>
      </c>
      <c r="G71" s="222">
        <f>R178</f>
        <v>1767612</v>
      </c>
      <c r="H71" s="222">
        <v>125000</v>
      </c>
      <c r="I71" s="222">
        <f t="shared" si="508"/>
        <v>655000</v>
      </c>
      <c r="J71" s="223">
        <f>((D71-F71)*0.4+F71)-SUM(G71:I71)</f>
        <v>424816</v>
      </c>
    </row>
    <row r="72" ht="16" customHeight="1">
      <c r="A72" s="225"/>
      <c r="B72" s="234"/>
      <c r="C72" s="227">
        <f>SUM(C60:C71)</f>
        <v>240</v>
      </c>
      <c r="D72" s="228">
        <f>SUM(D60:D71)</f>
        <v>89498626</v>
      </c>
      <c r="E72" s="227">
        <f>SUM(E60:E71)</f>
        <v>164</v>
      </c>
      <c r="F72" s="229">
        <f>SUM(F60:F71)</f>
        <v>56444895</v>
      </c>
      <c r="G72" s="229">
        <f>SUM(G60:G71)</f>
        <v>25111653</v>
      </c>
      <c r="H72" s="229">
        <f>SUM(H60:H71)</f>
        <v>1440000</v>
      </c>
      <c r="I72" s="229">
        <f>SUM(I60:I71)</f>
        <v>13160000</v>
      </c>
      <c r="J72" s="230">
        <f>SUM(J60:J71)</f>
        <v>29954734.4</v>
      </c>
    </row>
    <row r="73" ht="15.5" customHeight="1">
      <c r="A73" s="212">
        <v>2016</v>
      </c>
      <c r="B73" t="s" s="219">
        <v>779</v>
      </c>
      <c r="C73" s="220">
        <f>LOOKUP($B73,'PlusClimatizacion'!$B2:$B354,'PlusClimatizacion'!A2:A354)+LOOKUP($B73,'PlusGroup'!$B2:$B1489,'PlusGroup'!A2:A1489)</f>
        <v>19</v>
      </c>
      <c r="D73" s="235">
        <f>LOOKUP($B73,'PlusClimatizacion'!$B2:$B354,'PlusClimatizacion'!E2:E354)+LOOKUP($B73,'PlusGroup'!$B2:$B1489,'PlusGroup'!E2:E1489)</f>
        <v>13944729</v>
      </c>
      <c r="E73" s="220">
        <f>LOOKUP($B73,'PlusClimatizacion'!$B2:$B354,'PlusClimatizacion'!A2:A354)+LOOKUP($B73,'PlusGroup'!$B2:$B1489,'PlusGroup'!A2:A1489)</f>
        <v>19</v>
      </c>
      <c r="F73" s="222">
        <f>LOOKUP($B73,'PlusClimatizacion'!$B2:$B354,'PlusClimatizacion'!H2:H354)+LOOKUP($B73,'PlusGroup'!$B2:$B1489,'PlusGroup'!H2:H1489)</f>
        <v>2795669</v>
      </c>
      <c r="G73" s="222">
        <f>R180</f>
        <v>1530811</v>
      </c>
      <c r="H73" s="222">
        <v>85000</v>
      </c>
      <c r="I73" s="222">
        <f t="shared" si="508"/>
        <v>655000</v>
      </c>
      <c r="J73" s="223">
        <f>((D73-F73)*0.4+F73)-SUM(G73:I73)</f>
        <v>4984482</v>
      </c>
    </row>
    <row r="74" ht="15" customHeight="1">
      <c r="A74" s="232"/>
      <c r="B74" t="s" s="213">
        <v>1079</v>
      </c>
      <c r="C74" s="214">
        <f>LOOKUP($B74,'PlusClimatizacion'!$B2:$B354,'PlusClimatizacion'!A2:A354)</f>
        <v>37</v>
      </c>
      <c r="D74" s="216">
        <f>LOOKUP($B74,'PlusClimatizacion'!$B2:$B354,'PlusClimatizacion'!E2:E354)</f>
        <v>13738471</v>
      </c>
      <c r="E74" s="214">
        <f>LOOKUP($B74,'PlusClimatizacion'!B2:B354,'PlusClimatizacion'!I2:I354)</f>
        <v>20</v>
      </c>
      <c r="F74" s="216">
        <f>LOOKUP($B74,'PlusClimatizacion'!B2:B354,'PlusClimatizacion'!H2:H354)</f>
        <v>7390654</v>
      </c>
      <c r="G74" s="216">
        <f>R181</f>
        <v>1464004</v>
      </c>
      <c r="H74" s="216">
        <v>85000</v>
      </c>
      <c r="I74" s="216">
        <f t="shared" si="508"/>
        <v>655000</v>
      </c>
      <c r="J74" s="217">
        <f>((D74-F74)*0.4+F74)-SUM(G74:I74)</f>
        <v>7725776.800000001</v>
      </c>
    </row>
    <row r="75" ht="15" customHeight="1">
      <c r="A75" s="218"/>
      <c r="B75" t="s" s="219">
        <v>1080</v>
      </c>
      <c r="C75" s="220">
        <f>LOOKUP($B75,'PlusClimatizacion'!$B2:$B354,'PlusClimatizacion'!A2:A354)</f>
        <v>12</v>
      </c>
      <c r="D75" s="222">
        <f>LOOKUP($B75,'PlusClimatizacion'!$B2:$B354,'PlusClimatizacion'!E2:E354)</f>
        <v>5342743</v>
      </c>
      <c r="E75" s="220">
        <f>LOOKUP($B75,'PlusClimatizacion'!B2:B354,'PlusClimatizacion'!I2:I354)</f>
        <v>8</v>
      </c>
      <c r="F75" s="222">
        <f>LOOKUP($B75,'PlusClimatizacion'!B2:B354,'PlusClimatizacion'!H2:H354)</f>
        <v>2837775</v>
      </c>
      <c r="G75" s="222">
        <f>R182</f>
        <v>1161439</v>
      </c>
      <c r="H75" s="222">
        <v>70000</v>
      </c>
      <c r="I75" s="222">
        <f t="shared" si="508"/>
        <v>655000</v>
      </c>
      <c r="J75" s="223">
        <f>((D75-F75)*0.4+F75)-SUM(G75:I75)</f>
        <v>1953323.2</v>
      </c>
    </row>
    <row r="76" ht="15" customHeight="1">
      <c r="A76" s="232"/>
      <c r="B76" t="s" s="213">
        <v>1081</v>
      </c>
      <c r="C76" s="214">
        <f>LOOKUP($B76,'PlusClimatizacion'!$B2:$B354,'PlusClimatizacion'!A2:A354)</f>
        <v>15</v>
      </c>
      <c r="D76" s="216">
        <f>LOOKUP($B76,'PlusClimatizacion'!$B2:$B354,'PlusClimatizacion'!E2:E354)</f>
        <v>11327523</v>
      </c>
      <c r="E76" s="214">
        <f>LOOKUP($B76,'PlusClimatizacion'!B2:B354,'PlusClimatizacion'!I2:I354)</f>
        <v>14</v>
      </c>
      <c r="F76" s="216">
        <f>LOOKUP($B76,'PlusClimatizacion'!B2:B354,'PlusClimatizacion'!H2:H354)</f>
        <v>11327523</v>
      </c>
      <c r="G76" s="216">
        <f>R183</f>
        <v>1028781</v>
      </c>
      <c r="H76" s="216">
        <v>70000</v>
      </c>
      <c r="I76" s="216">
        <f t="shared" si="508"/>
        <v>655000</v>
      </c>
      <c r="J76" s="217">
        <f>((D76-F76)*0.4+F76)-SUM(G76:I76)</f>
        <v>9573742</v>
      </c>
    </row>
    <row r="77" ht="15" customHeight="1">
      <c r="A77" s="218"/>
      <c r="B77" t="s" s="219">
        <v>1082</v>
      </c>
      <c r="C77" s="220">
        <f>LOOKUP($B77,'PlusClimatizacion'!$B2:$B354,'PlusClimatizacion'!A2:A354)</f>
        <v>30</v>
      </c>
      <c r="D77" s="222">
        <f>LOOKUP($B77,'PlusClimatizacion'!$B2:$B354,'PlusClimatizacion'!E2:E354)</f>
        <v>8774413</v>
      </c>
      <c r="E77" s="220">
        <f>LOOKUP($B77,'PlusClimatizacion'!B2:B354,'PlusClimatizacion'!I2:I354)</f>
        <v>25</v>
      </c>
      <c r="F77" s="222">
        <f>LOOKUP($B77,'PlusClimatizacion'!B2:B354,'PlusClimatizacion'!H2:H354)</f>
        <v>8081703</v>
      </c>
      <c r="G77" s="222">
        <f>R184</f>
        <v>1836404</v>
      </c>
      <c r="H77" s="222">
        <v>90000</v>
      </c>
      <c r="I77" s="222">
        <f t="shared" si="508"/>
        <v>655000</v>
      </c>
      <c r="J77" s="223">
        <f>((D77-F77)*0.4+F77)-SUM(G77:I77)</f>
        <v>5777383</v>
      </c>
    </row>
    <row r="78" ht="15" customHeight="1">
      <c r="A78" s="232"/>
      <c r="B78" t="s" s="213">
        <v>1083</v>
      </c>
      <c r="C78" s="214">
        <f>LOOKUP($B78,'PlusClimatizacion'!$B2:$B354,'PlusClimatizacion'!A2:A354)</f>
        <v>26</v>
      </c>
      <c r="D78" s="216">
        <f>LOOKUP($B78,'PlusClimatizacion'!$B2:$B354,'PlusClimatizacion'!E2:E354)</f>
        <v>11290056</v>
      </c>
      <c r="E78" s="214">
        <f>LOOKUP($B78,'PlusClimatizacion'!B2:B354,'PlusClimatizacion'!I2:I354)</f>
        <v>22</v>
      </c>
      <c r="F78" s="216">
        <f>LOOKUP($B78,'PlusClimatizacion'!B2:B354,'PlusClimatizacion'!H2:H354)</f>
        <v>10623656</v>
      </c>
      <c r="G78" s="216">
        <f>R185</f>
        <v>1730869</v>
      </c>
      <c r="H78" s="216">
        <v>90000</v>
      </c>
      <c r="I78" s="216">
        <f t="shared" si="508"/>
        <v>655000</v>
      </c>
      <c r="J78" s="217">
        <f>((D78-F78)*0.4+F78)-SUM(G78:I78)</f>
        <v>8414347</v>
      </c>
    </row>
    <row r="79" ht="15" customHeight="1">
      <c r="A79" s="218"/>
      <c r="B79" t="s" s="219">
        <v>1084</v>
      </c>
      <c r="C79" s="220">
        <f>LOOKUP($B79,'PlusClimatizacion'!$B2:$B354,'PlusClimatizacion'!A2:A354)</f>
        <v>14</v>
      </c>
      <c r="D79" s="222">
        <f>LOOKUP($B79,'PlusClimatizacion'!$B2:$B354,'PlusClimatizacion'!E2:E354)</f>
        <v>3138301</v>
      </c>
      <c r="E79" s="220">
        <f>LOOKUP($B79,'PlusClimatizacion'!B2:B354,'PlusClimatizacion'!I2:I354)</f>
        <v>9</v>
      </c>
      <c r="F79" s="222">
        <f>LOOKUP($B79,'PlusClimatizacion'!B2:B354,'PlusClimatizacion'!H2:H354)</f>
        <v>1576247</v>
      </c>
      <c r="G79" s="222">
        <f>R186</f>
        <v>1740476</v>
      </c>
      <c r="H79" s="222">
        <v>90000</v>
      </c>
      <c r="I79" s="222">
        <f t="shared" si="508"/>
        <v>655000</v>
      </c>
      <c r="J79" s="223">
        <f>((D79-F79)*0.4+F79)-SUM(G79:I79)</f>
        <v>-284407.3999999999</v>
      </c>
    </row>
    <row r="80" ht="15" customHeight="1">
      <c r="A80" s="232"/>
      <c r="B80" t="s" s="213">
        <v>1085</v>
      </c>
      <c r="C80" s="214">
        <f>LOOKUP($B80,'PlusClimatizacion'!$B2:$B354,'PlusClimatizacion'!A2:A354)</f>
        <v>28</v>
      </c>
      <c r="D80" s="216">
        <f>LOOKUP($B80,'PlusClimatizacion'!$B2:$B354,'PlusClimatizacion'!E2:E354)</f>
        <v>11184413</v>
      </c>
      <c r="E80" s="214">
        <f>LOOKUP($B80,'PlusClimatizacion'!B2:B354,'PlusClimatizacion'!I2:I354)</f>
        <v>20</v>
      </c>
      <c r="F80" s="216">
        <f>LOOKUP($B80,'PlusClimatizacion'!B2:B354,'PlusClimatizacion'!H2:H354)</f>
        <v>7472244</v>
      </c>
      <c r="G80" s="216">
        <f>R187</f>
        <v>1774221</v>
      </c>
      <c r="H80" s="216">
        <v>90000</v>
      </c>
      <c r="I80" s="216">
        <f t="shared" si="508"/>
        <v>655000</v>
      </c>
      <c r="J80" s="217">
        <f>((D80-F80)*0.4+F80)-SUM(G80:I80)</f>
        <v>6437890.6</v>
      </c>
    </row>
    <row r="81" ht="15" customHeight="1">
      <c r="A81" s="218"/>
      <c r="B81" t="s" s="219">
        <v>1086</v>
      </c>
      <c r="C81" s="220">
        <f>LOOKUP($B81,'PlusClimatizacion'!$B2:$B354,'PlusClimatizacion'!A2:A354)</f>
        <v>17</v>
      </c>
      <c r="D81" s="222">
        <f>LOOKUP($B81,'PlusClimatizacion'!$B2:$B354,'PlusClimatizacion'!E2:E354)</f>
        <v>4771417</v>
      </c>
      <c r="E81" s="220">
        <f>LOOKUP($B81,'PlusClimatizacion'!B2:B354,'PlusClimatizacion'!I2:I354)</f>
        <v>15</v>
      </c>
      <c r="F81" s="222">
        <f>LOOKUP($B81,'PlusClimatizacion'!B2:B354,'PlusClimatizacion'!H2:H354)</f>
        <v>4592917</v>
      </c>
      <c r="G81" s="222">
        <f>R188</f>
        <v>1561381</v>
      </c>
      <c r="H81" s="222">
        <v>90000</v>
      </c>
      <c r="I81" s="222">
        <f t="shared" si="508"/>
        <v>655000</v>
      </c>
      <c r="J81" s="223">
        <f>((D81-F81)*0.4+F81)-SUM(G81:I81)</f>
        <v>2357936</v>
      </c>
    </row>
    <row r="82" ht="15" customHeight="1">
      <c r="A82" s="232"/>
      <c r="B82" t="s" s="213">
        <v>1087</v>
      </c>
      <c r="C82" s="214">
        <f>LOOKUP($B82,'PlusClimatizacion'!$B2:$B354,'PlusClimatizacion'!A2:A354)</f>
        <v>19</v>
      </c>
      <c r="D82" s="216">
        <f>LOOKUP($B82,'PlusClimatizacion'!$B2:$B354,'PlusClimatizacion'!E2:E354)</f>
        <v>3807427</v>
      </c>
      <c r="E82" s="214">
        <f>LOOKUP($B82,'PlusClimatizacion'!B2:B354,'PlusClimatizacion'!I2:I354)</f>
        <v>12</v>
      </c>
      <c r="F82" s="216">
        <f>LOOKUP($B82,'PlusClimatizacion'!B2:B354,'PlusClimatizacion'!H2:H354)</f>
        <v>2772611</v>
      </c>
      <c r="G82" s="216">
        <f>R189</f>
        <v>1717482</v>
      </c>
      <c r="H82" s="216">
        <v>90000</v>
      </c>
      <c r="I82" s="216">
        <f t="shared" si="508"/>
        <v>655000</v>
      </c>
      <c r="J82" s="217">
        <f>((D82-F82)*0.4+F82)-SUM(G82:I82)</f>
        <v>724055.3999999999</v>
      </c>
    </row>
    <row r="83" ht="15" customHeight="1">
      <c r="A83" s="218"/>
      <c r="B83" t="s" s="219">
        <v>1088</v>
      </c>
      <c r="C83" s="220">
        <f>LOOKUP($B83,'PlusClimatizacion'!$B2:$B354,'PlusClimatizacion'!A2:A354)</f>
        <v>26</v>
      </c>
      <c r="D83" s="222">
        <f>LOOKUP($B83,'PlusClimatizacion'!$B2:$B354,'PlusClimatizacion'!E2:E354)</f>
        <v>7658690</v>
      </c>
      <c r="E83" s="220">
        <f>LOOKUP($B83,'PlusClimatizacion'!B2:B354,'PlusClimatizacion'!I2:I354)</f>
        <v>19</v>
      </c>
      <c r="F83" s="222">
        <f>LOOKUP($B83,'PlusClimatizacion'!B2:B354,'PlusClimatizacion'!H2:H354)</f>
        <v>7155915</v>
      </c>
      <c r="G83" s="222">
        <f>R190</f>
        <v>1522794</v>
      </c>
      <c r="H83" s="222">
        <v>90000</v>
      </c>
      <c r="I83" s="222">
        <f t="shared" si="508"/>
        <v>655000</v>
      </c>
      <c r="J83" s="223">
        <f>((D83-F83)*0.4+F83)-SUM(G83:I83)</f>
        <v>5089231</v>
      </c>
    </row>
    <row r="84" ht="15.5" customHeight="1">
      <c r="A84" s="224"/>
      <c r="B84" t="s" s="213">
        <v>1089</v>
      </c>
      <c r="C84" s="214">
        <f>LOOKUP($B84,'PlusClimatizacion'!$B2:$B354,'PlusClimatizacion'!A2:A354)</f>
        <v>45</v>
      </c>
      <c r="D84" s="216">
        <f>LOOKUP($B84,'PlusClimatizacion'!$B2:$B354,'PlusClimatizacion'!E2:E354)</f>
        <v>6511887</v>
      </c>
      <c r="E84" s="214">
        <f>LOOKUP($B84,'PlusClimatizacion'!B2:B354,'PlusClimatizacion'!I2:I354)</f>
        <v>17</v>
      </c>
      <c r="F84" s="216">
        <f>LOOKUP($B84,'PlusClimatizacion'!B2:B354,'PlusClimatizacion'!H2:H354)</f>
        <v>5395845</v>
      </c>
      <c r="G84" s="216">
        <f>R191</f>
        <v>703826</v>
      </c>
      <c r="H84" s="216">
        <v>75000</v>
      </c>
      <c r="I84" s="216">
        <f t="shared" si="508"/>
        <v>655000</v>
      </c>
      <c r="J84" s="217">
        <f>((D84-F84)*0.4+F84)-SUM(G84:I84)</f>
        <v>4408435.8</v>
      </c>
    </row>
    <row r="85" ht="16" customHeight="1">
      <c r="A85" s="225"/>
      <c r="B85" s="234"/>
      <c r="C85" s="227">
        <f>SUM(C73:C84)</f>
        <v>288</v>
      </c>
      <c r="D85" s="229">
        <f>SUM(D73:D84)</f>
        <v>101490070</v>
      </c>
      <c r="E85" s="227">
        <f>SUM(E73:E84)</f>
        <v>200</v>
      </c>
      <c r="F85" s="229">
        <f>SUM(F73:F84)</f>
        <v>72022759</v>
      </c>
      <c r="G85" s="229">
        <f>SUM(G73:G84)</f>
        <v>17772488</v>
      </c>
      <c r="H85" s="229">
        <f>SUM(H73:H84)</f>
        <v>1015000</v>
      </c>
      <c r="I85" s="229">
        <f>SUM(I73:I84)</f>
        <v>7860000</v>
      </c>
      <c r="J85" s="230">
        <f>SUM(J73:J84)</f>
        <v>57162195.4</v>
      </c>
    </row>
    <row r="86" ht="15.5" customHeight="1">
      <c r="A86" s="231">
        <v>2017</v>
      </c>
      <c r="B86" t="s" s="213">
        <v>1090</v>
      </c>
      <c r="C86" s="214">
        <f>LOOKUP($B86,'PlusClimatizacion'!$B2:$B354,'PlusClimatizacion'!A2:A354)</f>
        <v>22</v>
      </c>
      <c r="D86" s="216">
        <f>LOOKUP($B86,'PlusClimatizacion'!$B2:$B354,'PlusClimatizacion'!E2:E354)</f>
        <v>7626575</v>
      </c>
      <c r="E86" s="214">
        <f>LOOKUP($B86,'PlusClimatizacion'!B2:B354,'PlusClimatizacion'!I2:I354)</f>
        <v>17</v>
      </c>
      <c r="F86" s="216">
        <f>LOOKUP($B86,'PlusClimatizacion'!B2:B354,'PlusClimatizacion'!H2:H354)</f>
        <v>4694939</v>
      </c>
      <c r="G86" s="216">
        <f>R193</f>
        <v>696468</v>
      </c>
      <c r="H86" s="216">
        <v>70000</v>
      </c>
      <c r="I86" s="216">
        <f t="shared" si="508"/>
        <v>655000</v>
      </c>
      <c r="J86" s="217">
        <f>((D86-F86)*0.4+F86)-SUM(G86:I86)</f>
        <v>4446125.4</v>
      </c>
    </row>
    <row r="87" ht="15" customHeight="1">
      <c r="A87" s="218"/>
      <c r="B87" t="s" s="219">
        <v>1091</v>
      </c>
      <c r="C87" s="220">
        <f>LOOKUP($B87,'PlusClimatizacion'!$B2:$B354,'PlusClimatizacion'!A2:A354)</f>
        <v>9</v>
      </c>
      <c r="D87" s="222">
        <f>LOOKUP($B87,'PlusClimatizacion'!$B2:$B354,'PlusClimatizacion'!E2:E354)</f>
        <v>2034213</v>
      </c>
      <c r="E87" s="220">
        <f>LOOKUP($B87,'PlusClimatizacion'!B2:B354,'PlusClimatizacion'!I2:I354)</f>
        <v>7</v>
      </c>
      <c r="F87" s="222">
        <f>LOOKUP($B87,'PlusClimatizacion'!B2:B354,'PlusClimatizacion'!H2:H354)</f>
        <v>2034213</v>
      </c>
      <c r="G87" s="222">
        <f>R194</f>
        <v>699580</v>
      </c>
      <c r="H87" s="222">
        <v>70000</v>
      </c>
      <c r="I87" s="222">
        <f t="shared" si="508"/>
        <v>655000</v>
      </c>
      <c r="J87" s="223"/>
    </row>
    <row r="88" ht="15" customHeight="1">
      <c r="A88" s="232"/>
      <c r="B88" t="s" s="213">
        <v>1092</v>
      </c>
      <c r="C88" s="236"/>
      <c r="D88" s="237"/>
      <c r="E88" s="237"/>
      <c r="F88" s="238"/>
      <c r="G88" s="216">
        <f>R195</f>
        <v>649041</v>
      </c>
      <c r="H88" s="216">
        <v>70000</v>
      </c>
      <c r="I88" s="216">
        <f t="shared" si="508"/>
        <v>655000</v>
      </c>
      <c r="J88" s="217"/>
    </row>
    <row r="89" ht="15" customHeight="1">
      <c r="A89" s="218"/>
      <c r="B89" t="s" s="219">
        <v>1093</v>
      </c>
      <c r="C89" s="239"/>
      <c r="D89" s="240"/>
      <c r="E89" s="240"/>
      <c r="F89" s="241"/>
      <c r="G89" s="222">
        <f>R196</f>
        <v>712671</v>
      </c>
      <c r="H89" s="222">
        <v>70000</v>
      </c>
      <c r="I89" s="222">
        <f t="shared" si="508"/>
        <v>655000</v>
      </c>
      <c r="J89" s="223"/>
    </row>
    <row r="90" ht="15" customHeight="1">
      <c r="A90" s="232"/>
      <c r="B90" t="s" s="213">
        <v>1094</v>
      </c>
      <c r="C90" s="236"/>
      <c r="D90" s="237"/>
      <c r="E90" s="237"/>
      <c r="F90" s="238"/>
      <c r="G90" s="216">
        <f>R197</f>
        <v>607097</v>
      </c>
      <c r="H90" s="216">
        <v>70000</v>
      </c>
      <c r="I90" s="216">
        <f t="shared" si="508"/>
        <v>655000</v>
      </c>
      <c r="J90" s="217"/>
    </row>
    <row r="91" ht="15" customHeight="1">
      <c r="A91" s="218"/>
      <c r="B91" t="s" s="219">
        <v>1095</v>
      </c>
      <c r="C91" s="239"/>
      <c r="D91" s="240"/>
      <c r="E91" s="240"/>
      <c r="F91" s="241"/>
      <c r="G91" s="222">
        <f>R198</f>
        <v>705297</v>
      </c>
      <c r="H91" s="222">
        <v>70000</v>
      </c>
      <c r="I91" s="222">
        <f t="shared" si="508"/>
        <v>655000</v>
      </c>
      <c r="J91" s="223"/>
    </row>
    <row r="92" ht="15" customHeight="1">
      <c r="A92" s="232"/>
      <c r="B92" t="s" s="213">
        <v>1096</v>
      </c>
      <c r="C92" s="236"/>
      <c r="D92" s="237"/>
      <c r="E92" s="237"/>
      <c r="F92" s="238"/>
      <c r="G92" s="216">
        <f>R199</f>
        <v>820483</v>
      </c>
      <c r="H92" s="216">
        <v>70000</v>
      </c>
      <c r="I92" s="216">
        <f t="shared" si="508"/>
        <v>655000</v>
      </c>
      <c r="J92" s="217"/>
    </row>
    <row r="93" ht="15" customHeight="1">
      <c r="A93" s="218"/>
      <c r="B93" t="s" s="219">
        <v>1097</v>
      </c>
      <c r="C93" s="239"/>
      <c r="D93" s="240"/>
      <c r="E93" s="240"/>
      <c r="F93" s="241"/>
      <c r="G93" s="222">
        <f>R200</f>
        <v>659628</v>
      </c>
      <c r="H93" s="222">
        <v>70000</v>
      </c>
      <c r="I93" s="222">
        <f t="shared" si="508"/>
        <v>655000</v>
      </c>
      <c r="J93" s="223"/>
    </row>
    <row r="94" ht="15" customHeight="1">
      <c r="A94" s="232"/>
      <c r="B94" t="s" s="213">
        <v>1098</v>
      </c>
      <c r="C94" s="236"/>
      <c r="D94" s="237"/>
      <c r="E94" s="237"/>
      <c r="F94" s="238"/>
      <c r="G94" s="216">
        <f>R201</f>
        <v>243776</v>
      </c>
      <c r="H94" s="216">
        <v>70000</v>
      </c>
      <c r="I94" s="216">
        <f t="shared" si="508"/>
        <v>655000</v>
      </c>
      <c r="J94" s="217"/>
    </row>
    <row r="95" ht="15" customHeight="1">
      <c r="A95" s="218"/>
      <c r="B95" t="s" s="219">
        <v>1099</v>
      </c>
      <c r="C95" s="239"/>
      <c r="D95" s="240"/>
      <c r="E95" s="240"/>
      <c r="F95" s="241"/>
      <c r="G95" s="222">
        <f>R202</f>
        <v>0</v>
      </c>
      <c r="H95" s="222"/>
      <c r="I95" s="222"/>
      <c r="J95" s="223">
        <f>((D95-F95)*0.4+F95)-SUM(G95:I95)</f>
        <v>0</v>
      </c>
    </row>
    <row r="96" ht="15" customHeight="1">
      <c r="A96" s="232"/>
      <c r="B96" t="s" s="213">
        <v>1100</v>
      </c>
      <c r="C96" s="236"/>
      <c r="D96" s="237"/>
      <c r="E96" s="237"/>
      <c r="F96" s="238"/>
      <c r="G96" s="216">
        <f>R203</f>
        <v>0</v>
      </c>
      <c r="H96" s="216"/>
      <c r="I96" s="216"/>
      <c r="J96" s="217">
        <f>((D96-F96)*0.4+F96)-SUM(G96:I96)</f>
        <v>0</v>
      </c>
    </row>
    <row r="97" ht="15.5" customHeight="1">
      <c r="A97" s="233"/>
      <c r="B97" t="s" s="219">
        <v>1101</v>
      </c>
      <c r="C97" s="239"/>
      <c r="D97" s="240"/>
      <c r="E97" s="240"/>
      <c r="F97" s="241"/>
      <c r="G97" s="222">
        <f>R204</f>
        <v>0</v>
      </c>
      <c r="H97" s="222"/>
      <c r="I97" s="222"/>
      <c r="J97" s="223">
        <f>((D97-F97)*0.4+F97)-SUM(G97:I97)</f>
        <v>0</v>
      </c>
    </row>
    <row r="98" ht="16" customHeight="1">
      <c r="A98" s="225"/>
      <c r="B98" s="234"/>
      <c r="C98" s="227">
        <f>SUM(C86:C97)</f>
        <v>31</v>
      </c>
      <c r="D98" s="229">
        <f>SUM(D86:D97)</f>
        <v>9660788</v>
      </c>
      <c r="E98" s="227">
        <f>SUM(E86:E97)</f>
        <v>24</v>
      </c>
      <c r="F98" s="242">
        <f>SUM(F86:F97)</f>
        <v>6729152</v>
      </c>
      <c r="G98" s="229">
        <f>SUM(G86:G97)</f>
        <v>5794041</v>
      </c>
      <c r="H98" s="229">
        <f>SUM(H86:H97)</f>
        <v>630000</v>
      </c>
      <c r="I98" s="229">
        <f>SUM(I86:I97)</f>
        <v>5895000</v>
      </c>
      <c r="J98" s="230">
        <f>SUM(J86:J97)</f>
        <v>4446125.4</v>
      </c>
    </row>
    <row r="99" ht="15.5" customHeight="1">
      <c r="A99" s="212">
        <v>2018</v>
      </c>
      <c r="B99" t="s" s="219">
        <v>1102</v>
      </c>
      <c r="C99" s="239"/>
      <c r="D99" s="240"/>
      <c r="E99" s="240"/>
      <c r="F99" s="241"/>
      <c r="G99" s="222"/>
      <c r="H99" s="222"/>
      <c r="I99" s="222"/>
      <c r="J99" s="223"/>
    </row>
    <row r="100" ht="15" customHeight="1">
      <c r="A100" s="232"/>
      <c r="B100" t="s" s="213">
        <v>1103</v>
      </c>
      <c r="C100" s="236"/>
      <c r="D100" s="237"/>
      <c r="E100" s="237"/>
      <c r="F100" s="238"/>
      <c r="G100" s="216"/>
      <c r="H100" s="216"/>
      <c r="I100" s="216"/>
      <c r="J100" s="217"/>
    </row>
    <row r="101" ht="15" customHeight="1">
      <c r="A101" s="218"/>
      <c r="B101" t="s" s="219">
        <v>1104</v>
      </c>
      <c r="C101" s="239"/>
      <c r="D101" s="240"/>
      <c r="E101" s="240"/>
      <c r="F101" s="241"/>
      <c r="G101" s="222"/>
      <c r="H101" s="222"/>
      <c r="I101" s="222"/>
      <c r="J101" s="223"/>
    </row>
    <row r="102" ht="15" customHeight="1">
      <c r="A102" s="232"/>
      <c r="B102" t="s" s="213">
        <v>1105</v>
      </c>
      <c r="C102" s="236"/>
      <c r="D102" s="237"/>
      <c r="E102" s="237"/>
      <c r="F102" s="238"/>
      <c r="G102" s="216"/>
      <c r="H102" s="216"/>
      <c r="I102" s="216"/>
      <c r="J102" s="217"/>
    </row>
    <row r="103" ht="15" customHeight="1">
      <c r="A103" s="218"/>
      <c r="B103" t="s" s="219">
        <v>1106</v>
      </c>
      <c r="C103" s="239"/>
      <c r="D103" s="240"/>
      <c r="E103" s="240"/>
      <c r="F103" s="241"/>
      <c r="G103" s="222"/>
      <c r="H103" s="222"/>
      <c r="I103" s="222"/>
      <c r="J103" s="223"/>
    </row>
    <row r="104" ht="15" customHeight="1">
      <c r="A104" s="232"/>
      <c r="B104" t="s" s="213">
        <v>1107</v>
      </c>
      <c r="C104" s="236"/>
      <c r="D104" s="237"/>
      <c r="E104" s="237"/>
      <c r="F104" s="238"/>
      <c r="G104" s="216"/>
      <c r="H104" s="216"/>
      <c r="I104" s="216"/>
      <c r="J104" s="217"/>
    </row>
    <row r="105" ht="15" customHeight="1">
      <c r="A105" s="218"/>
      <c r="B105" t="s" s="219">
        <v>1108</v>
      </c>
      <c r="C105" s="239"/>
      <c r="D105" s="240"/>
      <c r="E105" s="240"/>
      <c r="F105" s="241"/>
      <c r="G105" s="222"/>
      <c r="H105" s="222"/>
      <c r="I105" s="222"/>
      <c r="J105" s="223"/>
    </row>
    <row r="106" ht="15" customHeight="1">
      <c r="A106" s="232"/>
      <c r="B106" t="s" s="213">
        <v>1109</v>
      </c>
      <c r="C106" s="236"/>
      <c r="D106" s="237"/>
      <c r="E106" s="237"/>
      <c r="F106" s="238"/>
      <c r="G106" s="216"/>
      <c r="H106" s="216"/>
      <c r="I106" s="216"/>
      <c r="J106" s="217"/>
    </row>
    <row r="107" ht="15" customHeight="1">
      <c r="A107" s="218"/>
      <c r="B107" t="s" s="219">
        <v>1110</v>
      </c>
      <c r="C107" s="239"/>
      <c r="D107" s="240"/>
      <c r="E107" s="240"/>
      <c r="F107" s="241"/>
      <c r="G107" s="222"/>
      <c r="H107" s="222"/>
      <c r="I107" s="222"/>
      <c r="J107" s="223"/>
    </row>
    <row r="108" ht="15" customHeight="1">
      <c r="A108" s="232"/>
      <c r="B108" t="s" s="213">
        <v>1111</v>
      </c>
      <c r="C108" s="236"/>
      <c r="D108" s="237"/>
      <c r="E108" s="237"/>
      <c r="F108" s="238"/>
      <c r="G108" s="216"/>
      <c r="H108" s="216"/>
      <c r="I108" s="216"/>
      <c r="J108" s="217"/>
    </row>
    <row r="109" ht="15" customHeight="1">
      <c r="A109" s="218"/>
      <c r="B109" t="s" s="219">
        <v>1112</v>
      </c>
      <c r="C109" s="239"/>
      <c r="D109" s="240"/>
      <c r="E109" s="240"/>
      <c r="F109" s="241"/>
      <c r="G109" s="222"/>
      <c r="H109" s="222"/>
      <c r="I109" s="222"/>
      <c r="J109" s="223"/>
    </row>
    <row r="110" ht="15.5" customHeight="1">
      <c r="A110" s="224"/>
      <c r="B110" t="s" s="213">
        <v>1113</v>
      </c>
      <c r="C110" s="236"/>
      <c r="D110" s="237"/>
      <c r="E110" s="237"/>
      <c r="F110" s="238"/>
      <c r="G110" s="216"/>
      <c r="H110" s="216"/>
      <c r="I110" s="216"/>
      <c r="J110" s="217"/>
    </row>
    <row r="111" ht="15" customHeight="1">
      <c r="A111" s="243"/>
      <c r="B111" s="244"/>
      <c r="C111" s="245">
        <f>SUM(C99:C110)</f>
        <v>0</v>
      </c>
      <c r="D111" s="245">
        <f>SUM(D99:D110)</f>
        <v>0</v>
      </c>
      <c r="E111" s="245">
        <f>SUM(E99:E110)</f>
        <v>0</v>
      </c>
      <c r="F111" s="245">
        <f>SUM(F99:F110)</f>
        <v>0</v>
      </c>
      <c r="G111" s="246">
        <f>SUM(G99:G110)</f>
        <v>0</v>
      </c>
      <c r="H111" s="246">
        <f>SUM(H99:H110)</f>
        <v>0</v>
      </c>
      <c r="I111" s="246">
        <f>SUM(I99:I110)</f>
        <v>0</v>
      </c>
      <c r="J111" s="247">
        <f>SUM(J99:J110)</f>
        <v>0</v>
      </c>
    </row>
    <row r="113" ht="24" customHeight="1">
      <c r="K113" t="s" s="249">
        <v>1063</v>
      </c>
      <c r="L113" s="250"/>
      <c r="M113" s="250"/>
      <c r="N113" s="250"/>
      <c r="O113" s="250"/>
      <c r="P113" s="250"/>
      <c r="Q113" s="250"/>
      <c r="R113" s="251"/>
    </row>
    <row r="114" ht="15" customHeight="1">
      <c r="K114" s="252">
        <v>2011</v>
      </c>
      <c r="L114" t="s" s="253">
        <v>1114</v>
      </c>
      <c r="M114" t="s" s="253">
        <v>1115</v>
      </c>
      <c r="N114" t="s" s="253">
        <v>1116</v>
      </c>
      <c r="O114" t="s" s="253">
        <v>1117</v>
      </c>
      <c r="P114" t="s" s="253">
        <v>1118</v>
      </c>
      <c r="Q114" s="254"/>
      <c r="R114" t="s" s="255">
        <v>7</v>
      </c>
    </row>
    <row r="115" ht="15.5" customHeight="1">
      <c r="K115" s="256">
        <v>43101</v>
      </c>
      <c r="L115" s="214">
        <v>622790</v>
      </c>
      <c r="M115" s="214">
        <v>468083</v>
      </c>
      <c r="N115" s="237"/>
      <c r="O115" s="237"/>
      <c r="P115" s="214"/>
      <c r="Q115" s="214"/>
      <c r="R115" s="217">
        <f>SUM(L115:P115)</f>
        <v>1090873</v>
      </c>
    </row>
    <row r="116" ht="15" customHeight="1">
      <c r="K116" s="256">
        <v>43132</v>
      </c>
      <c r="L116" s="214">
        <v>622790</v>
      </c>
      <c r="M116" s="214">
        <v>468083</v>
      </c>
      <c r="N116" s="237"/>
      <c r="O116" s="237"/>
      <c r="P116" s="214"/>
      <c r="Q116" s="214"/>
      <c r="R116" s="217">
        <f>SUM(L116:P116)</f>
        <v>1090873</v>
      </c>
    </row>
    <row r="117" ht="15" customHeight="1">
      <c r="K117" s="256">
        <v>43160</v>
      </c>
      <c r="L117" s="214">
        <v>622790</v>
      </c>
      <c r="M117" s="214">
        <v>468083</v>
      </c>
      <c r="N117" s="214">
        <v>296000</v>
      </c>
      <c r="O117" s="214">
        <v>296000</v>
      </c>
      <c r="P117" s="214"/>
      <c r="Q117" s="214"/>
      <c r="R117" s="217">
        <f>SUM(L117:P117)</f>
        <v>1682873</v>
      </c>
    </row>
    <row r="118" ht="15.75" customHeight="1">
      <c r="K118" s="256">
        <v>43191</v>
      </c>
      <c r="L118" s="214">
        <v>622790</v>
      </c>
      <c r="M118" s="214">
        <v>468083</v>
      </c>
      <c r="N118" s="214">
        <v>296000</v>
      </c>
      <c r="O118" s="214">
        <v>296000</v>
      </c>
      <c r="P118" s="214"/>
      <c r="Q118" s="214"/>
      <c r="R118" s="217">
        <f>SUM(L118:P118)</f>
        <v>1682873</v>
      </c>
    </row>
    <row r="119" ht="15" customHeight="1">
      <c r="K119" s="256">
        <v>43221</v>
      </c>
      <c r="L119" s="214">
        <v>622790</v>
      </c>
      <c r="M119" s="214">
        <v>468083</v>
      </c>
      <c r="N119" s="214">
        <v>296000</v>
      </c>
      <c r="O119" s="214">
        <v>296000</v>
      </c>
      <c r="P119" s="214"/>
      <c r="Q119" s="214"/>
      <c r="R119" s="217">
        <f>SUM(L119:P119)</f>
        <v>1682873</v>
      </c>
    </row>
    <row r="120" ht="15" customHeight="1">
      <c r="K120" s="256">
        <v>43252</v>
      </c>
      <c r="L120" s="214">
        <v>622790</v>
      </c>
      <c r="M120" s="214">
        <v>468083</v>
      </c>
      <c r="N120" s="214">
        <v>296000</v>
      </c>
      <c r="O120" s="214">
        <v>296000</v>
      </c>
      <c r="P120" s="214"/>
      <c r="Q120" s="214"/>
      <c r="R120" s="217">
        <f>SUM(L120:P120)</f>
        <v>1682873</v>
      </c>
    </row>
    <row r="121" ht="15" customHeight="1">
      <c r="K121" s="256">
        <v>43282</v>
      </c>
      <c r="L121" s="214">
        <v>622790</v>
      </c>
      <c r="M121" s="214">
        <v>468083</v>
      </c>
      <c r="N121" s="214">
        <v>296000</v>
      </c>
      <c r="O121" s="214">
        <v>296000</v>
      </c>
      <c r="P121" s="214"/>
      <c r="Q121" s="214"/>
      <c r="R121" s="217">
        <f>SUM(L121:P121)</f>
        <v>1682873</v>
      </c>
    </row>
    <row r="122" ht="15" customHeight="1">
      <c r="K122" s="256">
        <v>43313</v>
      </c>
      <c r="L122" s="214">
        <v>622790</v>
      </c>
      <c r="M122" s="214">
        <v>468083</v>
      </c>
      <c r="N122" s="214">
        <v>296000</v>
      </c>
      <c r="O122" s="214">
        <v>296000</v>
      </c>
      <c r="P122" s="214"/>
      <c r="Q122" s="214"/>
      <c r="R122" s="217">
        <f>SUM(L122:P122)</f>
        <v>1682873</v>
      </c>
    </row>
    <row r="123" ht="15" customHeight="1">
      <c r="K123" s="256">
        <v>43344</v>
      </c>
      <c r="L123" s="214">
        <v>622790</v>
      </c>
      <c r="M123" s="214">
        <v>468083</v>
      </c>
      <c r="N123" s="214">
        <v>296000</v>
      </c>
      <c r="O123" s="214">
        <v>296000</v>
      </c>
      <c r="P123" s="214"/>
      <c r="Q123" s="214"/>
      <c r="R123" s="217">
        <f>SUM(L123:P123)</f>
        <v>1682873</v>
      </c>
    </row>
    <row r="124" ht="15" customHeight="1">
      <c r="K124" s="256">
        <v>43374</v>
      </c>
      <c r="L124" s="214">
        <v>622790</v>
      </c>
      <c r="M124" s="214">
        <v>468083</v>
      </c>
      <c r="N124" s="214">
        <v>296000</v>
      </c>
      <c r="O124" s="214">
        <v>296000</v>
      </c>
      <c r="P124" s="214">
        <v>296000</v>
      </c>
      <c r="Q124" s="214"/>
      <c r="R124" s="217">
        <f>SUM(L124:P124)</f>
        <v>1978873</v>
      </c>
    </row>
    <row r="125" ht="15" customHeight="1">
      <c r="K125" s="256">
        <v>43405</v>
      </c>
      <c r="L125" s="214">
        <v>622790</v>
      </c>
      <c r="M125" s="214">
        <v>468083</v>
      </c>
      <c r="N125" s="214">
        <v>296000</v>
      </c>
      <c r="O125" s="214">
        <v>296000</v>
      </c>
      <c r="P125" s="214">
        <v>296000</v>
      </c>
      <c r="Q125" s="214"/>
      <c r="R125" s="217">
        <f>SUM(L125:P125)</f>
        <v>1978873</v>
      </c>
    </row>
    <row r="126" ht="15.5" customHeight="1">
      <c r="K126" s="256">
        <v>43435</v>
      </c>
      <c r="L126" s="214">
        <f>502790+137500</f>
        <v>640290</v>
      </c>
      <c r="M126" s="214">
        <f>348083+137500</f>
        <v>485583</v>
      </c>
      <c r="N126" s="214">
        <v>311000</v>
      </c>
      <c r="O126" s="214">
        <v>311000</v>
      </c>
      <c r="P126" s="214">
        <v>296000</v>
      </c>
      <c r="Q126" s="214"/>
      <c r="R126" s="217">
        <f>SUM(L126:P126)</f>
        <v>2043873</v>
      </c>
    </row>
    <row r="127" ht="16" customHeight="1">
      <c r="K127" s="257">
        <v>2012</v>
      </c>
      <c r="L127" t="s" s="234">
        <v>1114</v>
      </c>
      <c r="M127" t="s" s="234">
        <v>1115</v>
      </c>
      <c r="N127" t="s" s="234">
        <v>1116</v>
      </c>
      <c r="O127" t="s" s="234">
        <v>1117</v>
      </c>
      <c r="P127" t="s" s="234">
        <v>1118</v>
      </c>
      <c r="Q127" s="226"/>
      <c r="R127" t="s" s="258">
        <v>7</v>
      </c>
    </row>
    <row r="128" ht="15.5" customHeight="1">
      <c r="K128" s="256">
        <v>43101</v>
      </c>
      <c r="L128" s="214">
        <f t="shared" si="681" ref="L128:L139">502790+230030</f>
        <v>732820</v>
      </c>
      <c r="M128" s="214">
        <f t="shared" si="682" ref="M128:M132">348083+153099</f>
        <v>501182</v>
      </c>
      <c r="N128" s="214">
        <f t="shared" si="683" ref="N128:N130">225000+101192</f>
        <v>326192</v>
      </c>
      <c r="O128" s="214">
        <f t="shared" si="684" ref="O128:O134">225000+71417</f>
        <v>296417</v>
      </c>
      <c r="P128" s="214">
        <f t="shared" si="685" ref="P128:P133">225000+71012</f>
        <v>296012</v>
      </c>
      <c r="Q128" s="214"/>
      <c r="R128" s="217">
        <f>SUM(L128:P128)</f>
        <v>2152623</v>
      </c>
    </row>
    <row r="129" ht="15" customHeight="1">
      <c r="K129" s="256">
        <v>43132</v>
      </c>
      <c r="L129" s="214">
        <f t="shared" si="681"/>
        <v>732820</v>
      </c>
      <c r="M129" s="214">
        <f t="shared" si="682"/>
        <v>501182</v>
      </c>
      <c r="N129" s="214">
        <f t="shared" si="683"/>
        <v>326192</v>
      </c>
      <c r="O129" s="214">
        <f t="shared" si="684"/>
        <v>296417</v>
      </c>
      <c r="P129" s="214">
        <f t="shared" si="685"/>
        <v>296012</v>
      </c>
      <c r="Q129" s="214"/>
      <c r="R129" s="217">
        <f>SUM(L129:P129)</f>
        <v>2152623</v>
      </c>
    </row>
    <row r="130" ht="15" customHeight="1">
      <c r="K130" s="256">
        <v>43160</v>
      </c>
      <c r="L130" s="214">
        <f t="shared" si="681"/>
        <v>732820</v>
      </c>
      <c r="M130" s="214">
        <f t="shared" si="682"/>
        <v>501182</v>
      </c>
      <c r="N130" s="214">
        <f t="shared" si="683"/>
        <v>326192</v>
      </c>
      <c r="O130" s="214">
        <f>172500+55443</f>
        <v>227943</v>
      </c>
      <c r="P130" s="214">
        <f t="shared" si="685"/>
        <v>296012</v>
      </c>
      <c r="Q130" s="214"/>
      <c r="R130" s="217">
        <f>SUM(L130:P130)</f>
        <v>2084149</v>
      </c>
    </row>
    <row r="131" ht="15" customHeight="1">
      <c r="K131" s="256">
        <v>43191</v>
      </c>
      <c r="L131" s="214">
        <f t="shared" si="681"/>
        <v>732820</v>
      </c>
      <c r="M131" s="214">
        <f t="shared" si="682"/>
        <v>501182</v>
      </c>
      <c r="N131" s="237"/>
      <c r="O131" s="214">
        <f t="shared" si="684"/>
        <v>296417</v>
      </c>
      <c r="P131" s="214">
        <f t="shared" si="685"/>
        <v>296012</v>
      </c>
      <c r="Q131" s="214"/>
      <c r="R131" s="217">
        <f>SUM(L131:P131)</f>
        <v>1826431</v>
      </c>
    </row>
    <row r="132" ht="15" customHeight="1">
      <c r="K132" s="256">
        <v>43221</v>
      </c>
      <c r="L132" s="214">
        <f t="shared" si="681"/>
        <v>732820</v>
      </c>
      <c r="M132" s="214">
        <f t="shared" si="682"/>
        <v>501182</v>
      </c>
      <c r="N132" s="237"/>
      <c r="O132" s="214">
        <f t="shared" si="684"/>
        <v>296417</v>
      </c>
      <c r="P132" s="214">
        <f t="shared" si="685"/>
        <v>296012</v>
      </c>
      <c r="Q132" s="214"/>
      <c r="R132" s="217">
        <f>SUM(L132:P132)</f>
        <v>1826431</v>
      </c>
    </row>
    <row r="133" ht="15" customHeight="1">
      <c r="K133" s="256">
        <v>43252</v>
      </c>
      <c r="L133" s="214">
        <f t="shared" si="681"/>
        <v>732820</v>
      </c>
      <c r="M133" s="214">
        <f t="shared" si="710" ref="M133:M134">348083+163099</f>
        <v>511182</v>
      </c>
      <c r="N133" s="237"/>
      <c r="O133" s="214">
        <f t="shared" si="684"/>
        <v>296417</v>
      </c>
      <c r="P133" s="214">
        <f t="shared" si="685"/>
        <v>296012</v>
      </c>
      <c r="Q133" s="214"/>
      <c r="R133" s="217">
        <f>SUM(L133:P133)</f>
        <v>1836431</v>
      </c>
    </row>
    <row r="134" ht="15" customHeight="1">
      <c r="K134" s="256">
        <v>43282</v>
      </c>
      <c r="L134" s="214">
        <f t="shared" si="681"/>
        <v>732820</v>
      </c>
      <c r="M134" s="214">
        <f t="shared" si="710"/>
        <v>511182</v>
      </c>
      <c r="N134" s="237"/>
      <c r="O134" s="214">
        <f t="shared" si="684"/>
        <v>296417</v>
      </c>
      <c r="P134" s="214">
        <f>225000+35500</f>
        <v>260500</v>
      </c>
      <c r="Q134" s="214"/>
      <c r="R134" s="217">
        <f>SUM(L134:P134)</f>
        <v>1800919</v>
      </c>
    </row>
    <row r="135" ht="15" customHeight="1">
      <c r="K135" s="256">
        <v>43313</v>
      </c>
      <c r="L135" s="214">
        <f t="shared" si="681"/>
        <v>732820</v>
      </c>
      <c r="M135" s="214">
        <f t="shared" si="720" ref="M135:M139">348083+173099</f>
        <v>521182</v>
      </c>
      <c r="N135" s="214">
        <f t="shared" si="721" ref="N135:N142">225000+121192</f>
        <v>346192</v>
      </c>
      <c r="O135" s="214">
        <f>225000+96417</f>
        <v>321417</v>
      </c>
      <c r="P135" s="214"/>
      <c r="Q135" s="214"/>
      <c r="R135" s="217">
        <f>SUM(L135:P135)</f>
        <v>1921611</v>
      </c>
    </row>
    <row r="136" ht="15" customHeight="1">
      <c r="K136" s="256">
        <v>43344</v>
      </c>
      <c r="L136" s="214">
        <f t="shared" si="681"/>
        <v>732820</v>
      </c>
      <c r="M136" s="214">
        <f t="shared" si="720"/>
        <v>521182</v>
      </c>
      <c r="N136" s="214">
        <f t="shared" si="721"/>
        <v>346192</v>
      </c>
      <c r="O136" s="214">
        <f t="shared" si="727" ref="O136:O142">225000+121417</f>
        <v>346417</v>
      </c>
      <c r="P136" s="214"/>
      <c r="Q136" s="214"/>
      <c r="R136" s="217">
        <f>SUM(L136:P136)</f>
        <v>1946611</v>
      </c>
    </row>
    <row r="137" ht="15" customHeight="1">
      <c r="K137" s="256">
        <v>43374</v>
      </c>
      <c r="L137" s="214">
        <f t="shared" si="681"/>
        <v>732820</v>
      </c>
      <c r="M137" s="214">
        <f t="shared" si="720"/>
        <v>521182</v>
      </c>
      <c r="N137" s="214">
        <f t="shared" si="721"/>
        <v>346192</v>
      </c>
      <c r="O137" s="214">
        <f t="shared" si="727"/>
        <v>346417</v>
      </c>
      <c r="P137" s="214"/>
      <c r="Q137" s="214"/>
      <c r="R137" s="217">
        <f>SUM(L137:P137)</f>
        <v>1946611</v>
      </c>
    </row>
    <row r="138" ht="15" customHeight="1">
      <c r="K138" s="256">
        <v>43405</v>
      </c>
      <c r="L138" s="214">
        <f t="shared" si="681"/>
        <v>732820</v>
      </c>
      <c r="M138" s="214">
        <f t="shared" si="720"/>
        <v>521182</v>
      </c>
      <c r="N138" s="214">
        <f t="shared" si="721"/>
        <v>346192</v>
      </c>
      <c r="O138" s="214">
        <f t="shared" si="727"/>
        <v>346417</v>
      </c>
      <c r="P138" s="214"/>
      <c r="Q138" s="214"/>
      <c r="R138" s="217">
        <f>SUM(L138:P138)</f>
        <v>1946611</v>
      </c>
    </row>
    <row r="139" ht="15.5" customHeight="1">
      <c r="K139" s="256">
        <v>43435</v>
      </c>
      <c r="L139" s="214">
        <f t="shared" si="681"/>
        <v>732820</v>
      </c>
      <c r="M139" s="214">
        <f t="shared" si="720"/>
        <v>521182</v>
      </c>
      <c r="N139" s="214">
        <f t="shared" si="721"/>
        <v>346192</v>
      </c>
      <c r="O139" s="214">
        <f t="shared" si="727"/>
        <v>346417</v>
      </c>
      <c r="P139" s="214"/>
      <c r="Q139" s="214"/>
      <c r="R139" s="217">
        <f>SUM(L139:P139)</f>
        <v>1946611</v>
      </c>
    </row>
    <row r="140" ht="16" customHeight="1">
      <c r="K140" s="257">
        <v>2013</v>
      </c>
      <c r="L140" t="s" s="234">
        <v>1114</v>
      </c>
      <c r="M140" t="s" s="234">
        <v>1115</v>
      </c>
      <c r="N140" t="s" s="234">
        <v>1116</v>
      </c>
      <c r="O140" t="s" s="234">
        <v>1117</v>
      </c>
      <c r="P140" t="s" s="234">
        <v>1119</v>
      </c>
      <c r="Q140" s="226"/>
      <c r="R140" t="s" s="258">
        <v>7</v>
      </c>
    </row>
    <row r="141" ht="15.5" customHeight="1">
      <c r="K141" s="256">
        <v>43101</v>
      </c>
      <c r="L141" s="214">
        <f t="shared" si="744" ref="L141:L154">502790+280030</f>
        <v>782820</v>
      </c>
      <c r="M141" s="214">
        <f t="shared" si="745" ref="M141:M151">348083+223099</f>
        <v>571182</v>
      </c>
      <c r="N141" s="214">
        <f t="shared" si="721"/>
        <v>346192</v>
      </c>
      <c r="O141" s="214">
        <f t="shared" si="727"/>
        <v>346417</v>
      </c>
      <c r="P141" s="214"/>
      <c r="Q141" s="214"/>
      <c r="R141" s="217">
        <f>SUM(L141:P141)</f>
        <v>2046611</v>
      </c>
    </row>
    <row r="142" ht="15" customHeight="1">
      <c r="K142" s="256">
        <v>43132</v>
      </c>
      <c r="L142" s="214">
        <f t="shared" si="744"/>
        <v>782820</v>
      </c>
      <c r="M142" s="214">
        <f t="shared" si="745"/>
        <v>571182</v>
      </c>
      <c r="N142" s="214">
        <f t="shared" si="721"/>
        <v>346192</v>
      </c>
      <c r="O142" s="214">
        <f t="shared" si="727"/>
        <v>346417</v>
      </c>
      <c r="P142" s="214"/>
      <c r="Q142" s="214"/>
      <c r="R142" s="217">
        <f>SUM(L142:P142)</f>
        <v>2046611</v>
      </c>
    </row>
    <row r="143" ht="15" customHeight="1">
      <c r="K143" s="256">
        <v>43160</v>
      </c>
      <c r="L143" s="214">
        <f t="shared" si="744"/>
        <v>782820</v>
      </c>
      <c r="M143" s="214">
        <f t="shared" si="745"/>
        <v>571182</v>
      </c>
      <c r="N143" s="214">
        <f t="shared" si="756" ref="N143:N152">225000+136192</f>
        <v>361192</v>
      </c>
      <c r="O143" s="214">
        <f t="shared" si="757" ref="O143:O150">225000+151417</f>
        <v>376417</v>
      </c>
      <c r="P143" s="214"/>
      <c r="Q143" s="214"/>
      <c r="R143" s="217">
        <f>SUM(L143:P143)</f>
        <v>2091611</v>
      </c>
    </row>
    <row r="144" ht="15" customHeight="1">
      <c r="K144" s="256">
        <v>43191</v>
      </c>
      <c r="L144" s="214">
        <f t="shared" si="744"/>
        <v>782820</v>
      </c>
      <c r="M144" s="214">
        <f t="shared" si="745"/>
        <v>571182</v>
      </c>
      <c r="N144" s="214">
        <f t="shared" si="756"/>
        <v>361192</v>
      </c>
      <c r="O144" s="214">
        <f t="shared" si="757"/>
        <v>376417</v>
      </c>
      <c r="P144" s="214"/>
      <c r="Q144" s="214"/>
      <c r="R144" s="217">
        <f>SUM(L144:P144)</f>
        <v>2091611</v>
      </c>
    </row>
    <row r="145" ht="15" customHeight="1">
      <c r="K145" s="256">
        <v>43221</v>
      </c>
      <c r="L145" s="214">
        <f t="shared" si="744"/>
        <v>782820</v>
      </c>
      <c r="M145" s="214">
        <f t="shared" si="745"/>
        <v>571182</v>
      </c>
      <c r="N145" s="214">
        <f t="shared" si="756"/>
        <v>361192</v>
      </c>
      <c r="O145" s="214">
        <f t="shared" si="757"/>
        <v>376417</v>
      </c>
      <c r="P145" s="214"/>
      <c r="Q145" s="214"/>
      <c r="R145" s="217">
        <f>SUM(L145:P145)</f>
        <v>2091611</v>
      </c>
    </row>
    <row r="146" ht="15" customHeight="1">
      <c r="K146" s="256">
        <v>43252</v>
      </c>
      <c r="L146" s="214">
        <f t="shared" si="744"/>
        <v>782820</v>
      </c>
      <c r="M146" s="214">
        <f t="shared" si="745"/>
        <v>571182</v>
      </c>
      <c r="N146" s="214">
        <f t="shared" si="756"/>
        <v>361192</v>
      </c>
      <c r="O146" s="214">
        <f t="shared" si="757"/>
        <v>376417</v>
      </c>
      <c r="P146" s="214"/>
      <c r="Q146" s="214"/>
      <c r="R146" s="217">
        <f>SUM(L146:P146)</f>
        <v>2091611</v>
      </c>
    </row>
    <row r="147" ht="15" customHeight="1">
      <c r="K147" s="256">
        <v>43282</v>
      </c>
      <c r="L147" s="214">
        <f t="shared" si="744"/>
        <v>782820</v>
      </c>
      <c r="M147" s="214">
        <f t="shared" si="745"/>
        <v>571182</v>
      </c>
      <c r="N147" s="214">
        <f t="shared" si="756"/>
        <v>361192</v>
      </c>
      <c r="O147" s="214">
        <f t="shared" si="757"/>
        <v>376417</v>
      </c>
      <c r="P147" s="214"/>
      <c r="Q147" s="214"/>
      <c r="R147" s="217">
        <f>SUM(L147:P147)</f>
        <v>2091611</v>
      </c>
    </row>
    <row r="148" ht="15" customHeight="1">
      <c r="K148" s="256">
        <v>43313</v>
      </c>
      <c r="L148" s="214">
        <f t="shared" si="744"/>
        <v>782820</v>
      </c>
      <c r="M148" s="214">
        <f t="shared" si="745"/>
        <v>571182</v>
      </c>
      <c r="N148" s="214">
        <f t="shared" si="756"/>
        <v>361192</v>
      </c>
      <c r="O148" s="214">
        <f t="shared" si="757"/>
        <v>376417</v>
      </c>
      <c r="P148" s="214"/>
      <c r="Q148" s="214"/>
      <c r="R148" s="217">
        <f>SUM(L148:P148)</f>
        <v>2091611</v>
      </c>
    </row>
    <row r="149" ht="15" customHeight="1">
      <c r="K149" s="256">
        <v>43344</v>
      </c>
      <c r="L149" s="214">
        <f t="shared" si="744"/>
        <v>782820</v>
      </c>
      <c r="M149" s="214">
        <f t="shared" si="745"/>
        <v>571182</v>
      </c>
      <c r="N149" s="214">
        <f t="shared" si="756"/>
        <v>361192</v>
      </c>
      <c r="O149" s="214">
        <f t="shared" si="757"/>
        <v>376417</v>
      </c>
      <c r="P149" s="214"/>
      <c r="Q149" s="214"/>
      <c r="R149" s="217">
        <f>SUM(L149:P149)</f>
        <v>2091611</v>
      </c>
    </row>
    <row r="150" ht="15" customHeight="1">
      <c r="K150" s="256">
        <v>43374</v>
      </c>
      <c r="L150" s="214">
        <f t="shared" si="744"/>
        <v>782820</v>
      </c>
      <c r="M150" s="214">
        <f t="shared" si="745"/>
        <v>571182</v>
      </c>
      <c r="N150" s="214">
        <f t="shared" si="756"/>
        <v>361192</v>
      </c>
      <c r="O150" s="214">
        <f t="shared" si="757"/>
        <v>376417</v>
      </c>
      <c r="P150" s="214"/>
      <c r="Q150" s="214"/>
      <c r="R150" s="217">
        <f>SUM(L150:P150)</f>
        <v>2091611</v>
      </c>
    </row>
    <row r="151" ht="15" customHeight="1">
      <c r="K151" s="256">
        <v>43405</v>
      </c>
      <c r="L151" s="214">
        <f t="shared" si="744"/>
        <v>782820</v>
      </c>
      <c r="M151" s="214">
        <f t="shared" si="745"/>
        <v>571182</v>
      </c>
      <c r="N151" s="214">
        <f t="shared" si="756"/>
        <v>361192</v>
      </c>
      <c r="O151" s="237"/>
      <c r="P151" s="214">
        <f t="shared" si="797" ref="P151:P152">210000+40000</f>
        <v>250000</v>
      </c>
      <c r="Q151" s="214"/>
      <c r="R151" s="217">
        <f>SUM(L151:P151)</f>
        <v>1965194</v>
      </c>
    </row>
    <row r="152" ht="15.5" customHeight="1">
      <c r="K152" s="256">
        <v>43435</v>
      </c>
      <c r="L152" s="214">
        <f t="shared" si="744"/>
        <v>782820</v>
      </c>
      <c r="M152" s="214">
        <f>348083+273100</f>
        <v>621183</v>
      </c>
      <c r="N152" s="214">
        <f t="shared" si="756"/>
        <v>361192</v>
      </c>
      <c r="O152" s="237"/>
      <c r="P152" s="214">
        <f t="shared" si="797"/>
        <v>250000</v>
      </c>
      <c r="Q152" s="214"/>
      <c r="R152" s="217">
        <f>SUM(L152:P152)</f>
        <v>2015195</v>
      </c>
    </row>
    <row r="153" ht="16" customHeight="1">
      <c r="K153" s="257">
        <v>2014</v>
      </c>
      <c r="L153" t="s" s="234">
        <v>1114</v>
      </c>
      <c r="M153" t="s" s="234">
        <v>1115</v>
      </c>
      <c r="N153" t="s" s="234">
        <v>1116</v>
      </c>
      <c r="O153" t="s" s="234">
        <v>1120</v>
      </c>
      <c r="P153" t="s" s="234">
        <v>1119</v>
      </c>
      <c r="Q153" t="s" s="234">
        <v>1121</v>
      </c>
      <c r="R153" t="s" s="258">
        <v>7</v>
      </c>
    </row>
    <row r="154" ht="15.5" customHeight="1">
      <c r="K154" s="256">
        <v>43101</v>
      </c>
      <c r="L154" s="214">
        <f t="shared" si="744"/>
        <v>782820</v>
      </c>
      <c r="M154" s="214">
        <v>615683</v>
      </c>
      <c r="N154" s="214">
        <f>225000+132840</f>
        <v>357840</v>
      </c>
      <c r="O154" s="237"/>
      <c r="P154" s="214"/>
      <c r="Q154" s="214">
        <v>0</v>
      </c>
      <c r="R154" s="217">
        <f>SUM(L154:Q154)</f>
        <v>1756343</v>
      </c>
    </row>
    <row r="155" ht="15" customHeight="1">
      <c r="K155" s="256">
        <v>43132</v>
      </c>
      <c r="L155" s="237"/>
      <c r="M155" s="214">
        <v>615683</v>
      </c>
      <c r="N155" s="214">
        <v>357840</v>
      </c>
      <c r="O155" s="214">
        <v>465000</v>
      </c>
      <c r="P155" s="214">
        <v>278833</v>
      </c>
      <c r="Q155" s="237"/>
      <c r="R155" s="217">
        <f>SUM(L155:Q155)</f>
        <v>1717356</v>
      </c>
    </row>
    <row r="156" ht="15" customHeight="1">
      <c r="K156" s="256">
        <v>43160</v>
      </c>
      <c r="L156" s="237"/>
      <c r="M156" s="214">
        <v>616045</v>
      </c>
      <c r="N156" s="214">
        <v>357840</v>
      </c>
      <c r="O156" s="214">
        <v>458150</v>
      </c>
      <c r="P156" s="214">
        <v>283150</v>
      </c>
      <c r="Q156" s="237"/>
      <c r="R156" s="217">
        <f>SUM(L156:Q156)</f>
        <v>1715185</v>
      </c>
    </row>
    <row r="157" ht="15" customHeight="1">
      <c r="K157" s="256">
        <v>43191</v>
      </c>
      <c r="L157" s="237"/>
      <c r="M157" s="214">
        <v>616045</v>
      </c>
      <c r="N157" s="214">
        <v>357840</v>
      </c>
      <c r="O157" s="214">
        <v>458150</v>
      </c>
      <c r="P157" s="214">
        <v>272533</v>
      </c>
      <c r="Q157" s="214">
        <v>319550</v>
      </c>
      <c r="R157" s="217">
        <f>SUM(L157:Q157)</f>
        <v>2024118</v>
      </c>
    </row>
    <row r="158" ht="15" customHeight="1">
      <c r="K158" s="256">
        <v>43221</v>
      </c>
      <c r="L158" s="237"/>
      <c r="M158" s="214">
        <v>677839</v>
      </c>
      <c r="N158" s="214">
        <v>357840</v>
      </c>
      <c r="O158" s="214">
        <v>511900</v>
      </c>
      <c r="P158" s="214">
        <v>233450</v>
      </c>
      <c r="Q158" s="214">
        <v>319550</v>
      </c>
      <c r="R158" s="217">
        <f>SUM(L158:Q158)</f>
        <v>2100579</v>
      </c>
    </row>
    <row r="159" ht="15" customHeight="1">
      <c r="K159" s="256">
        <v>43252</v>
      </c>
      <c r="L159" s="237"/>
      <c r="M159" s="214">
        <v>616045</v>
      </c>
      <c r="N159" s="214">
        <v>357840</v>
      </c>
      <c r="O159" s="214">
        <v>458150</v>
      </c>
      <c r="P159" s="214">
        <v>263550</v>
      </c>
      <c r="Q159" s="214">
        <v>348311</v>
      </c>
      <c r="R159" s="217">
        <f>SUM(L159:Q159)</f>
        <v>2043896</v>
      </c>
    </row>
    <row r="160" ht="15" customHeight="1">
      <c r="K160" s="256">
        <v>43282</v>
      </c>
      <c r="L160" s="237"/>
      <c r="M160" s="214">
        <v>616045</v>
      </c>
      <c r="N160" s="214">
        <v>357840</v>
      </c>
      <c r="O160" s="214">
        <v>458150</v>
      </c>
      <c r="P160" s="214">
        <v>286500</v>
      </c>
      <c r="Q160" s="214">
        <v>333327</v>
      </c>
      <c r="R160" s="217">
        <f>SUM(L160:Q160)</f>
        <v>2051862</v>
      </c>
    </row>
    <row r="161" ht="15" customHeight="1">
      <c r="K161" s="256">
        <v>43313</v>
      </c>
      <c r="L161" s="237"/>
      <c r="M161" s="214">
        <v>616045</v>
      </c>
      <c r="N161" s="214">
        <v>357840</v>
      </c>
      <c r="O161" s="214">
        <v>458150</v>
      </c>
      <c r="P161" s="214">
        <v>281250</v>
      </c>
      <c r="Q161" s="214">
        <v>327009</v>
      </c>
      <c r="R161" s="217">
        <f>SUM(L161:Q161)</f>
        <v>2040294</v>
      </c>
    </row>
    <row r="162" ht="15" customHeight="1">
      <c r="K162" s="256">
        <v>43344</v>
      </c>
      <c r="L162" s="237"/>
      <c r="M162" s="214">
        <v>616045</v>
      </c>
      <c r="N162" s="214">
        <v>357840</v>
      </c>
      <c r="O162" s="214">
        <v>458150</v>
      </c>
      <c r="P162" s="214">
        <v>295250</v>
      </c>
      <c r="Q162" s="214">
        <v>343856</v>
      </c>
      <c r="R162" s="217">
        <f>SUM(L162:Q162)</f>
        <v>2071141</v>
      </c>
    </row>
    <row r="163" ht="15" customHeight="1">
      <c r="K163" s="256">
        <v>43374</v>
      </c>
      <c r="L163" s="237"/>
      <c r="M163" s="214">
        <v>616045</v>
      </c>
      <c r="N163" s="214">
        <v>357840</v>
      </c>
      <c r="O163" s="214">
        <v>458150</v>
      </c>
      <c r="P163" s="214">
        <v>305750</v>
      </c>
      <c r="Q163" s="214">
        <v>360703</v>
      </c>
      <c r="R163" s="217">
        <f>SUM(L163:Q163)</f>
        <v>2098488</v>
      </c>
    </row>
    <row r="164" ht="15" customHeight="1">
      <c r="K164" s="256">
        <v>43405</v>
      </c>
      <c r="L164" s="237"/>
      <c r="M164" s="214">
        <v>616045</v>
      </c>
      <c r="N164" s="214">
        <v>357840</v>
      </c>
      <c r="O164" s="214">
        <v>458150</v>
      </c>
      <c r="P164" s="214">
        <v>281250</v>
      </c>
      <c r="Q164" s="214">
        <v>327009</v>
      </c>
      <c r="R164" s="217">
        <f>SUM(L164:Q164)</f>
        <v>2040294</v>
      </c>
    </row>
    <row r="165" ht="15.5" customHeight="1">
      <c r="K165" s="256">
        <v>43435</v>
      </c>
      <c r="L165" s="237"/>
      <c r="M165" s="214">
        <v>616045</v>
      </c>
      <c r="N165" s="214">
        <v>357840</v>
      </c>
      <c r="O165" s="214">
        <v>458150</v>
      </c>
      <c r="P165" s="214">
        <v>290688</v>
      </c>
      <c r="Q165" s="214">
        <v>349647</v>
      </c>
      <c r="R165" s="217">
        <f>SUM(L165:Q165)</f>
        <v>2072370</v>
      </c>
    </row>
    <row r="166" ht="16" customHeight="1">
      <c r="K166" s="257">
        <v>2015</v>
      </c>
      <c r="L166" t="s" s="234">
        <v>1115</v>
      </c>
      <c r="M166" t="s" s="234">
        <v>1120</v>
      </c>
      <c r="N166" t="s" s="234">
        <v>1119</v>
      </c>
      <c r="O166" t="s" s="234">
        <v>1121</v>
      </c>
      <c r="P166" t="s" s="234">
        <v>1122</v>
      </c>
      <c r="Q166" t="s" s="234">
        <v>1123</v>
      </c>
      <c r="R166" t="s" s="258">
        <v>7</v>
      </c>
    </row>
    <row r="167" ht="15.5" customHeight="1">
      <c r="K167" s="256">
        <v>43101</v>
      </c>
      <c r="L167" s="214">
        <v>812653</v>
      </c>
      <c r="M167" s="214">
        <v>553123</v>
      </c>
      <c r="N167" s="214">
        <v>321425</v>
      </c>
      <c r="O167" s="214">
        <v>326267</v>
      </c>
      <c r="P167" s="214">
        <v>63125</v>
      </c>
      <c r="Q167" s="237"/>
      <c r="R167" s="217">
        <f>SUM(L167:Q167)</f>
        <v>2076593</v>
      </c>
    </row>
    <row r="168" ht="15" customHeight="1">
      <c r="K168" s="256">
        <v>43132</v>
      </c>
      <c r="L168" s="214">
        <v>745478</v>
      </c>
      <c r="M168" s="214">
        <v>538320</v>
      </c>
      <c r="N168" s="214">
        <v>314075</v>
      </c>
      <c r="O168" s="214">
        <v>348068</v>
      </c>
      <c r="P168" s="214">
        <v>342325</v>
      </c>
      <c r="Q168" s="237"/>
      <c r="R168" s="217">
        <f>SUM(L168:Q168)</f>
        <v>2288266</v>
      </c>
    </row>
    <row r="169" ht="15" customHeight="1">
      <c r="K169" s="256">
        <v>43160</v>
      </c>
      <c r="L169" s="214">
        <v>743563</v>
      </c>
      <c r="M169" s="214">
        <v>534785</v>
      </c>
      <c r="N169" s="214">
        <v>333763</v>
      </c>
      <c r="O169" s="214">
        <v>343856</v>
      </c>
      <c r="P169" s="214">
        <v>339996</v>
      </c>
      <c r="Q169" s="237"/>
      <c r="R169" s="217">
        <f>SUM(L169:Q169)</f>
        <v>2295963</v>
      </c>
    </row>
    <row r="170" ht="15" customHeight="1">
      <c r="K170" s="256">
        <v>43191</v>
      </c>
      <c r="L170" s="214">
        <v>747230</v>
      </c>
      <c r="M170" s="214">
        <v>468208</v>
      </c>
      <c r="N170" s="214">
        <v>333763</v>
      </c>
      <c r="O170" s="214">
        <v>338406</v>
      </c>
      <c r="P170" s="214">
        <v>323919</v>
      </c>
      <c r="Q170" s="237"/>
      <c r="R170" s="217">
        <f>SUM(L170:Q170)</f>
        <v>2211526</v>
      </c>
    </row>
    <row r="171" ht="15" customHeight="1">
      <c r="K171" s="256">
        <v>43221</v>
      </c>
      <c r="L171" s="214">
        <v>836507</v>
      </c>
      <c r="M171" s="214">
        <v>545182</v>
      </c>
      <c r="N171" s="214">
        <v>365457</v>
      </c>
      <c r="O171" s="214">
        <v>384304</v>
      </c>
      <c r="P171" s="214">
        <v>327796</v>
      </c>
      <c r="Q171" s="237"/>
      <c r="R171" s="217">
        <f>SUM(L171:Q171)</f>
        <v>2459246</v>
      </c>
    </row>
    <row r="172" ht="15" customHeight="1">
      <c r="K172" s="256">
        <v>43252</v>
      </c>
      <c r="L172" s="214">
        <v>713082</v>
      </c>
      <c r="M172" s="214">
        <v>539941</v>
      </c>
      <c r="N172" s="214">
        <v>339752</v>
      </c>
      <c r="O172" s="214">
        <v>323522</v>
      </c>
      <c r="P172" s="214">
        <v>100392</v>
      </c>
      <c r="Q172" s="237"/>
      <c r="R172" s="217">
        <f>SUM(L172:Q172)</f>
        <v>2016689</v>
      </c>
    </row>
    <row r="173" ht="15" customHeight="1">
      <c r="K173" s="256">
        <v>43282</v>
      </c>
      <c r="L173" s="214">
        <v>734446</v>
      </c>
      <c r="M173" s="214">
        <v>514267</v>
      </c>
      <c r="N173" s="214">
        <v>312768</v>
      </c>
      <c r="O173" s="214">
        <v>340603</v>
      </c>
      <c r="P173" s="237"/>
      <c r="Q173" s="237"/>
      <c r="R173" s="217">
        <f>SUM(L173:Q173)</f>
        <v>1902084</v>
      </c>
    </row>
    <row r="174" ht="15" customHeight="1">
      <c r="K174" s="256">
        <v>43313</v>
      </c>
      <c r="L174" s="214">
        <v>839284</v>
      </c>
      <c r="M174" s="214">
        <v>592202</v>
      </c>
      <c r="N174" s="214">
        <v>349738</v>
      </c>
      <c r="O174" s="214">
        <v>381833</v>
      </c>
      <c r="P174" s="237"/>
      <c r="Q174" s="237"/>
      <c r="R174" s="217">
        <f>SUM(L174:Q174)</f>
        <v>2163057</v>
      </c>
    </row>
    <row r="175" ht="15" customHeight="1">
      <c r="K175" s="256">
        <v>43344</v>
      </c>
      <c r="L175" s="214">
        <v>783271</v>
      </c>
      <c r="M175" s="214">
        <v>510773</v>
      </c>
      <c r="N175" s="214">
        <v>354825</v>
      </c>
      <c r="O175" s="214">
        <v>364771</v>
      </c>
      <c r="P175" s="237"/>
      <c r="Q175" s="237"/>
      <c r="R175" s="217">
        <f>SUM(L175:Q175)</f>
        <v>2013640</v>
      </c>
    </row>
    <row r="176" ht="15" customHeight="1">
      <c r="K176" s="256">
        <v>43374</v>
      </c>
      <c r="L176" s="214">
        <v>347521</v>
      </c>
      <c r="M176" s="214">
        <v>552969</v>
      </c>
      <c r="N176" s="214">
        <v>289646</v>
      </c>
      <c r="O176" s="214">
        <v>341829</v>
      </c>
      <c r="P176" s="214">
        <v>698180</v>
      </c>
      <c r="Q176" s="237"/>
      <c r="R176" s="217">
        <f>SUM(L176:Q176)</f>
        <v>2230145</v>
      </c>
    </row>
    <row r="177" ht="15" customHeight="1">
      <c r="K177" s="256">
        <v>43405</v>
      </c>
      <c r="L177" s="237"/>
      <c r="M177" s="214">
        <v>606761</v>
      </c>
      <c r="N177" s="237"/>
      <c r="O177" s="214">
        <v>347009</v>
      </c>
      <c r="P177" s="214">
        <v>403334</v>
      </c>
      <c r="Q177" s="214">
        <v>329728</v>
      </c>
      <c r="R177" s="217">
        <f>SUM(L177:Q177)</f>
        <v>1686832</v>
      </c>
    </row>
    <row r="178" ht="15.5" customHeight="1">
      <c r="K178" s="256">
        <v>43435</v>
      </c>
      <c r="L178" s="237"/>
      <c r="M178" s="214">
        <v>642321</v>
      </c>
      <c r="N178" s="214">
        <v>395241</v>
      </c>
      <c r="O178" s="214">
        <v>247889</v>
      </c>
      <c r="P178" s="214">
        <v>219356</v>
      </c>
      <c r="Q178" s="214">
        <v>262805</v>
      </c>
      <c r="R178" s="217">
        <f>SUM(L178:Q178)</f>
        <v>1767612</v>
      </c>
    </row>
    <row r="179" ht="16" customHeight="1">
      <c r="K179" s="257">
        <v>2016</v>
      </c>
      <c r="L179" t="s" s="234">
        <v>1120</v>
      </c>
      <c r="M179" t="s" s="234">
        <v>1124</v>
      </c>
      <c r="N179" t="s" s="234">
        <v>1125</v>
      </c>
      <c r="O179" t="s" s="234">
        <v>1126</v>
      </c>
      <c r="P179" s="226"/>
      <c r="Q179" s="226"/>
      <c r="R179" t="s" s="258">
        <v>7</v>
      </c>
    </row>
    <row r="180" ht="15.5" customHeight="1">
      <c r="K180" s="256">
        <v>43101</v>
      </c>
      <c r="L180" s="237"/>
      <c r="M180" s="214">
        <v>817402</v>
      </c>
      <c r="N180" s="214">
        <v>446607</v>
      </c>
      <c r="O180" s="214">
        <v>266802</v>
      </c>
      <c r="P180" s="237"/>
      <c r="Q180" s="237"/>
      <c r="R180" s="217">
        <f>SUM(L180:P180)</f>
        <v>1530811</v>
      </c>
    </row>
    <row r="181" ht="15" customHeight="1">
      <c r="K181" s="256">
        <v>43132</v>
      </c>
      <c r="L181" s="237"/>
      <c r="M181" s="214">
        <v>824496</v>
      </c>
      <c r="N181" s="214">
        <v>450648</v>
      </c>
      <c r="O181" s="214">
        <v>188860</v>
      </c>
      <c r="P181" s="237"/>
      <c r="Q181" s="237"/>
      <c r="R181" s="217">
        <f>SUM(L181:P181)</f>
        <v>1464004</v>
      </c>
    </row>
    <row r="182" ht="15" customHeight="1">
      <c r="K182" s="256">
        <v>43160</v>
      </c>
      <c r="L182" s="237"/>
      <c r="M182" s="214">
        <v>781722</v>
      </c>
      <c r="N182" s="214">
        <v>379717</v>
      </c>
      <c r="O182" s="214"/>
      <c r="P182" s="237"/>
      <c r="Q182" s="237"/>
      <c r="R182" s="217">
        <f>SUM(L182:P182)</f>
        <v>1161439</v>
      </c>
    </row>
    <row r="183" ht="15" customHeight="1">
      <c r="K183" s="256">
        <v>43191</v>
      </c>
      <c r="L183" s="237"/>
      <c r="M183" s="214">
        <v>689332</v>
      </c>
      <c r="N183" s="214">
        <v>339449</v>
      </c>
      <c r="O183" s="214"/>
      <c r="P183" s="237"/>
      <c r="Q183" s="237"/>
      <c r="R183" s="217">
        <f>SUM(L183:P183)</f>
        <v>1028781</v>
      </c>
    </row>
    <row r="184" ht="15" customHeight="1">
      <c r="K184" s="256">
        <v>43221</v>
      </c>
      <c r="L184" s="214">
        <v>588383</v>
      </c>
      <c r="M184" s="214">
        <v>792140</v>
      </c>
      <c r="N184" s="214">
        <v>455881</v>
      </c>
      <c r="O184" s="214"/>
      <c r="P184" s="237"/>
      <c r="Q184" s="237"/>
      <c r="R184" s="217">
        <f>SUM(L184:P184)</f>
        <v>1836404</v>
      </c>
    </row>
    <row r="185" ht="15" customHeight="1">
      <c r="K185" s="256">
        <v>43252</v>
      </c>
      <c r="L185" s="214">
        <v>565742</v>
      </c>
      <c r="M185" s="214">
        <v>744270</v>
      </c>
      <c r="N185" s="214">
        <v>420857</v>
      </c>
      <c r="O185" s="214"/>
      <c r="P185" s="237"/>
      <c r="Q185" s="237"/>
      <c r="R185" s="217">
        <f>SUM(L185:P185)</f>
        <v>1730869</v>
      </c>
    </row>
    <row r="186" ht="15" customHeight="1">
      <c r="K186" s="256">
        <v>43282</v>
      </c>
      <c r="L186" s="214">
        <v>586680</v>
      </c>
      <c r="M186" s="214">
        <v>735241</v>
      </c>
      <c r="N186" s="214">
        <v>418555</v>
      </c>
      <c r="O186" s="214"/>
      <c r="P186" s="237"/>
      <c r="Q186" s="237"/>
      <c r="R186" s="217">
        <f>SUM(L186:P186)</f>
        <v>1740476</v>
      </c>
    </row>
    <row r="187" ht="15" customHeight="1">
      <c r="K187" s="256">
        <v>43313</v>
      </c>
      <c r="L187" s="214">
        <v>589525</v>
      </c>
      <c r="M187" s="214">
        <v>766037</v>
      </c>
      <c r="N187" s="214">
        <v>418659</v>
      </c>
      <c r="O187" s="214"/>
      <c r="P187" s="237"/>
      <c r="Q187" s="237"/>
      <c r="R187" s="217">
        <f>SUM(L187:P187)</f>
        <v>1774221</v>
      </c>
    </row>
    <row r="188" ht="15" customHeight="1">
      <c r="K188" s="256">
        <v>43344</v>
      </c>
      <c r="L188" s="214">
        <v>546001</v>
      </c>
      <c r="M188" s="214">
        <v>645976</v>
      </c>
      <c r="N188" s="214">
        <v>369404</v>
      </c>
      <c r="O188" s="214"/>
      <c r="P188" s="237"/>
      <c r="Q188" s="237"/>
      <c r="R188" s="217">
        <f>SUM(L188:P188)</f>
        <v>1561381</v>
      </c>
    </row>
    <row r="189" ht="15" customHeight="1">
      <c r="K189" s="256">
        <v>43374</v>
      </c>
      <c r="L189" s="214">
        <v>742914</v>
      </c>
      <c r="M189" s="214">
        <v>647848</v>
      </c>
      <c r="N189" s="214">
        <v>326720</v>
      </c>
      <c r="O189" s="214"/>
      <c r="P189" s="237"/>
      <c r="Q189" s="237"/>
      <c r="R189" s="217">
        <f>SUM(L189:P189)</f>
        <v>1717482</v>
      </c>
    </row>
    <row r="190" ht="15" customHeight="1">
      <c r="K190" s="256">
        <v>43405</v>
      </c>
      <c r="L190" s="214">
        <v>685023</v>
      </c>
      <c r="M190" s="214">
        <v>655694</v>
      </c>
      <c r="N190" s="214">
        <v>182077</v>
      </c>
      <c r="O190" s="214"/>
      <c r="P190" s="237"/>
      <c r="Q190" s="237"/>
      <c r="R190" s="217">
        <f>SUM(L190:P190)</f>
        <v>1522794</v>
      </c>
    </row>
    <row r="191" ht="15.5" customHeight="1">
      <c r="K191" s="256">
        <v>43435</v>
      </c>
      <c r="L191" s="214">
        <v>609639</v>
      </c>
      <c r="M191" s="214">
        <v>94187</v>
      </c>
      <c r="N191" s="237"/>
      <c r="O191" s="214"/>
      <c r="P191" s="237"/>
      <c r="Q191" s="237"/>
      <c r="R191" s="217">
        <f>SUM(L191:P191)</f>
        <v>703826</v>
      </c>
    </row>
    <row r="192" ht="16" customHeight="1">
      <c r="K192" s="257">
        <v>2017</v>
      </c>
      <c r="L192" t="s" s="234">
        <v>1120</v>
      </c>
      <c r="M192" s="226"/>
      <c r="N192" s="226"/>
      <c r="O192" s="226"/>
      <c r="P192" s="226"/>
      <c r="Q192" s="226"/>
      <c r="R192" t="s" s="258">
        <v>7</v>
      </c>
    </row>
    <row r="193" ht="15.5" customHeight="1">
      <c r="K193" s="256">
        <v>43101</v>
      </c>
      <c r="L193" s="214">
        <v>696468</v>
      </c>
      <c r="M193" s="237"/>
      <c r="N193" s="237"/>
      <c r="O193" s="214"/>
      <c r="P193" s="237"/>
      <c r="Q193" s="237"/>
      <c r="R193" s="217">
        <f>SUM(L193:P193)</f>
        <v>696468</v>
      </c>
    </row>
    <row r="194" ht="15" customHeight="1">
      <c r="K194" s="256">
        <v>43132</v>
      </c>
      <c r="L194" s="214">
        <v>699580</v>
      </c>
      <c r="M194" s="237"/>
      <c r="N194" s="237"/>
      <c r="O194" s="214"/>
      <c r="P194" s="237"/>
      <c r="Q194" s="237"/>
      <c r="R194" s="217">
        <f>SUM(L194:P194)</f>
        <v>699580</v>
      </c>
    </row>
    <row r="195" ht="15" customHeight="1">
      <c r="K195" s="256">
        <v>43160</v>
      </c>
      <c r="L195" s="214">
        <v>649041</v>
      </c>
      <c r="M195" s="237"/>
      <c r="N195" s="237"/>
      <c r="O195" s="214"/>
      <c r="P195" s="237"/>
      <c r="Q195" s="237"/>
      <c r="R195" s="217">
        <f>SUM(L195:P195)</f>
        <v>649041</v>
      </c>
    </row>
    <row r="196" ht="15" customHeight="1">
      <c r="K196" s="256">
        <v>43191</v>
      </c>
      <c r="L196" s="214">
        <v>712671</v>
      </c>
      <c r="M196" s="237"/>
      <c r="N196" s="237"/>
      <c r="O196" s="214"/>
      <c r="P196" s="237"/>
      <c r="Q196" s="237"/>
      <c r="R196" s="217">
        <f>SUM(L196:P196)</f>
        <v>712671</v>
      </c>
    </row>
    <row r="197" ht="15" customHeight="1">
      <c r="K197" s="256">
        <v>43221</v>
      </c>
      <c r="L197" s="214">
        <v>607097</v>
      </c>
      <c r="M197" s="237"/>
      <c r="N197" s="237"/>
      <c r="O197" s="214"/>
      <c r="P197" s="237"/>
      <c r="Q197" s="237"/>
      <c r="R197" s="217">
        <f>SUM(L197:P197)</f>
        <v>607097</v>
      </c>
    </row>
    <row r="198" ht="15" customHeight="1">
      <c r="K198" s="256">
        <v>43252</v>
      </c>
      <c r="L198" s="214">
        <v>705297</v>
      </c>
      <c r="M198" s="237"/>
      <c r="N198" s="237"/>
      <c r="O198" s="214"/>
      <c r="P198" s="237"/>
      <c r="Q198" s="237"/>
      <c r="R198" s="217">
        <f>SUM(L198:P198)</f>
        <v>705297</v>
      </c>
    </row>
    <row r="199" ht="15" customHeight="1">
      <c r="K199" s="256">
        <v>43282</v>
      </c>
      <c r="L199" s="214">
        <v>820483</v>
      </c>
      <c r="M199" s="237"/>
      <c r="N199" s="237"/>
      <c r="O199" s="214"/>
      <c r="P199" s="237"/>
      <c r="Q199" s="237"/>
      <c r="R199" s="217">
        <f>SUM(L199:P199)</f>
        <v>820483</v>
      </c>
    </row>
    <row r="200" ht="15" customHeight="1">
      <c r="K200" s="256">
        <v>43313</v>
      </c>
      <c r="L200" s="214">
        <v>659628</v>
      </c>
      <c r="M200" s="237"/>
      <c r="N200" s="237"/>
      <c r="O200" s="214"/>
      <c r="P200" s="237"/>
      <c r="Q200" s="237"/>
      <c r="R200" s="217">
        <f>SUM(L200:P200)</f>
        <v>659628</v>
      </c>
    </row>
    <row r="201" ht="15" customHeight="1">
      <c r="K201" s="256">
        <v>43344</v>
      </c>
      <c r="L201" s="214">
        <v>243776</v>
      </c>
      <c r="M201" s="237"/>
      <c r="N201" s="237"/>
      <c r="O201" s="214"/>
      <c r="P201" s="237"/>
      <c r="Q201" s="237"/>
      <c r="R201" s="217">
        <f>SUM(L201:P201)</f>
        <v>243776</v>
      </c>
    </row>
    <row r="202" ht="15" customHeight="1">
      <c r="K202" s="256">
        <v>43374</v>
      </c>
      <c r="L202" s="237"/>
      <c r="M202" s="237"/>
      <c r="N202" s="237"/>
      <c r="O202" s="214"/>
      <c r="P202" s="237"/>
      <c r="Q202" s="237"/>
      <c r="R202" s="217">
        <f>SUM(L202:P202)</f>
        <v>0</v>
      </c>
    </row>
    <row r="203" ht="15" customHeight="1">
      <c r="K203" s="256">
        <v>43405</v>
      </c>
      <c r="L203" s="237"/>
      <c r="M203" s="237"/>
      <c r="N203" s="237"/>
      <c r="O203" s="214"/>
      <c r="P203" s="237"/>
      <c r="Q203" s="237"/>
      <c r="R203" s="217">
        <f>SUM(L203:P203)</f>
        <v>0</v>
      </c>
    </row>
    <row r="204" ht="15.5" customHeight="1">
      <c r="K204" s="256">
        <v>43435</v>
      </c>
      <c r="L204" s="237"/>
      <c r="M204" s="237"/>
      <c r="N204" s="237"/>
      <c r="O204" s="214"/>
      <c r="P204" s="237"/>
      <c r="Q204" s="237"/>
      <c r="R204" s="217">
        <f>SUM(L204:P204)</f>
        <v>0</v>
      </c>
    </row>
    <row r="205" ht="16" customHeight="1">
      <c r="K205" s="257">
        <v>2018</v>
      </c>
      <c r="L205" s="226"/>
      <c r="M205" s="226"/>
      <c r="N205" s="226"/>
      <c r="O205" s="226"/>
      <c r="P205" s="226"/>
      <c r="Q205" s="226"/>
      <c r="R205" t="s" s="258">
        <v>7</v>
      </c>
    </row>
    <row r="206" ht="15.5" customHeight="1">
      <c r="K206" s="256">
        <v>43101</v>
      </c>
      <c r="L206" s="237"/>
      <c r="M206" s="237"/>
      <c r="N206" s="237"/>
      <c r="O206" s="214"/>
      <c r="P206" s="237"/>
      <c r="Q206" s="237"/>
      <c r="R206" s="217">
        <f>SUM(L206:P206)</f>
        <v>0</v>
      </c>
    </row>
    <row r="207" ht="15" customHeight="1">
      <c r="K207" s="256">
        <v>43132</v>
      </c>
      <c r="L207" s="237"/>
      <c r="M207" s="237"/>
      <c r="N207" s="237"/>
      <c r="O207" s="214"/>
      <c r="P207" s="237"/>
      <c r="Q207" s="237"/>
      <c r="R207" s="217">
        <f>SUM(L207:P207)</f>
        <v>0</v>
      </c>
    </row>
    <row r="208" ht="15" customHeight="1">
      <c r="K208" s="256">
        <v>43160</v>
      </c>
      <c r="L208" s="237"/>
      <c r="M208" s="237"/>
      <c r="N208" s="237"/>
      <c r="O208" s="214"/>
      <c r="P208" s="237"/>
      <c r="Q208" s="237"/>
      <c r="R208" s="217">
        <f>SUM(L208:P208)</f>
        <v>0</v>
      </c>
    </row>
    <row r="209" ht="15" customHeight="1">
      <c r="K209" s="256">
        <v>43191</v>
      </c>
      <c r="L209" s="237"/>
      <c r="M209" s="237"/>
      <c r="N209" s="237"/>
      <c r="O209" s="214"/>
      <c r="P209" s="237"/>
      <c r="Q209" s="237"/>
      <c r="R209" s="217">
        <f>SUM(L209:P209)</f>
        <v>0</v>
      </c>
    </row>
    <row r="210" ht="15" customHeight="1">
      <c r="K210" s="256">
        <v>43221</v>
      </c>
      <c r="L210" s="237"/>
      <c r="M210" s="237"/>
      <c r="N210" s="237"/>
      <c r="O210" s="214"/>
      <c r="P210" s="237"/>
      <c r="Q210" s="237"/>
      <c r="R210" s="217">
        <f>SUM(L210:P210)</f>
        <v>0</v>
      </c>
    </row>
    <row r="211" ht="15" customHeight="1">
      <c r="K211" s="256">
        <v>43252</v>
      </c>
      <c r="L211" s="237"/>
      <c r="M211" s="237"/>
      <c r="N211" s="237"/>
      <c r="O211" s="214"/>
      <c r="P211" s="237"/>
      <c r="Q211" s="237"/>
      <c r="R211" s="217">
        <f>SUM(L211:P211)</f>
        <v>0</v>
      </c>
    </row>
    <row r="212" ht="15" customHeight="1">
      <c r="K212" s="256">
        <v>43282</v>
      </c>
      <c r="L212" s="237"/>
      <c r="M212" s="237"/>
      <c r="N212" s="237"/>
      <c r="O212" s="214"/>
      <c r="P212" s="237"/>
      <c r="Q212" s="237"/>
      <c r="R212" s="217">
        <f>SUM(L212:P212)</f>
        <v>0</v>
      </c>
    </row>
    <row r="213" ht="15" customHeight="1">
      <c r="K213" s="256">
        <v>43313</v>
      </c>
      <c r="L213" s="237"/>
      <c r="M213" s="237"/>
      <c r="N213" s="237"/>
      <c r="O213" s="214"/>
      <c r="P213" s="237"/>
      <c r="Q213" s="237"/>
      <c r="R213" s="217">
        <f>SUM(L213:P213)</f>
        <v>0</v>
      </c>
    </row>
    <row r="214" ht="15" customHeight="1">
      <c r="K214" s="256">
        <v>43344</v>
      </c>
      <c r="L214" s="237"/>
      <c r="M214" s="237"/>
      <c r="N214" s="237"/>
      <c r="O214" s="214"/>
      <c r="P214" s="237"/>
      <c r="Q214" s="237"/>
      <c r="R214" s="217">
        <f>SUM(L214:P214)</f>
        <v>0</v>
      </c>
    </row>
    <row r="215" ht="15" customHeight="1">
      <c r="K215" s="256">
        <v>43374</v>
      </c>
      <c r="L215" s="237"/>
      <c r="M215" s="237"/>
      <c r="N215" s="237"/>
      <c r="O215" s="214"/>
      <c r="P215" s="237"/>
      <c r="Q215" s="237"/>
      <c r="R215" s="217">
        <f>SUM(L215:P215)</f>
        <v>0</v>
      </c>
    </row>
    <row r="216" ht="15" customHeight="1">
      <c r="K216" s="256">
        <v>43405</v>
      </c>
      <c r="L216" s="237"/>
      <c r="M216" s="237"/>
      <c r="N216" s="237"/>
      <c r="O216" s="214"/>
      <c r="P216" s="237"/>
      <c r="Q216" s="237"/>
      <c r="R216" s="217">
        <f>SUM(L216:P216)</f>
        <v>0</v>
      </c>
    </row>
    <row r="217" ht="15.5" customHeight="1">
      <c r="K217" s="256">
        <v>43435</v>
      </c>
      <c r="L217" s="237"/>
      <c r="M217" s="237"/>
      <c r="N217" s="237"/>
      <c r="O217" s="214"/>
      <c r="P217" s="237"/>
      <c r="Q217" s="237"/>
      <c r="R217" s="217">
        <f>SUM(L217:P217)</f>
        <v>0</v>
      </c>
    </row>
    <row r="218" ht="15" customHeight="1">
      <c r="K218" s="259"/>
      <c r="L218" s="260"/>
      <c r="M218" s="260"/>
      <c r="N218" s="260"/>
      <c r="O218" s="260"/>
      <c r="P218" s="260"/>
      <c r="Q218" s="260"/>
      <c r="R218" s="261"/>
    </row>
    <row r="220" ht="25.15" customHeight="1">
      <c r="S220" s="263">
        <v>43101</v>
      </c>
      <c r="T220" t="s" s="264">
        <v>1127</v>
      </c>
      <c r="U220" s="265"/>
      <c r="V220" s="265"/>
      <c r="W220" s="265"/>
      <c r="X220" s="265"/>
      <c r="Y220" s="265"/>
      <c r="Z220" s="265"/>
      <c r="AA220" s="265"/>
      <c r="AB220" s="265"/>
      <c r="AC220" s="265"/>
      <c r="AD220" s="265"/>
      <c r="AE220" s="265"/>
    </row>
    <row r="221" ht="25.15" customHeight="1">
      <c r="S221" s="266">
        <v>43132</v>
      </c>
      <c r="T221" t="s" s="267">
        <v>1072</v>
      </c>
      <c r="U221" s="268"/>
      <c r="V221" s="269"/>
      <c r="W221" s="270"/>
      <c r="X221" t="s" s="271">
        <v>1073</v>
      </c>
      <c r="Y221" s="269"/>
      <c r="Z221" s="269"/>
      <c r="AA221" s="270"/>
      <c r="AB221" t="s" s="271">
        <v>1078</v>
      </c>
      <c r="AC221" s="269"/>
      <c r="AD221" s="269"/>
      <c r="AE221" s="272"/>
    </row>
    <row r="222" ht="14.35" customHeight="1">
      <c r="S222" s="263">
        <v>43160</v>
      </c>
      <c r="T222" t="s" s="273">
        <v>1128</v>
      </c>
      <c r="U222" t="s" s="274">
        <v>5</v>
      </c>
      <c r="V222" t="s" s="274">
        <v>1129</v>
      </c>
      <c r="W222" t="s" s="275">
        <v>1130</v>
      </c>
      <c r="X222" t="s" s="276">
        <v>5</v>
      </c>
      <c r="Y222" t="s" s="274">
        <v>1131</v>
      </c>
      <c r="Z222" t="s" s="274">
        <v>1129</v>
      </c>
      <c r="AA222" t="s" s="275">
        <v>1130</v>
      </c>
      <c r="AB222" t="s" s="276">
        <v>5</v>
      </c>
      <c r="AC222" t="s" s="274">
        <v>1131</v>
      </c>
      <c r="AD222" t="s" s="274">
        <v>1129</v>
      </c>
      <c r="AE222" t="s" s="277">
        <v>1130</v>
      </c>
    </row>
    <row r="223" ht="14.65" customHeight="1">
      <c r="S223" s="266">
        <v>43191</v>
      </c>
      <c r="T223" s="278">
        <v>2010</v>
      </c>
      <c r="U223" s="279">
        <f>SUM(D4:D6)</f>
        <v>7874667</v>
      </c>
      <c r="V223" s="279">
        <f>U223/3</f>
        <v>2624889</v>
      </c>
      <c r="W223" s="280"/>
      <c r="X223" s="281">
        <f>SUM(F4:F6)</f>
        <v>478683</v>
      </c>
      <c r="Y223" s="282">
        <f>Z223/V223</f>
        <v>0.06078771330901992</v>
      </c>
      <c r="Z223" s="283">
        <f>X223/3</f>
        <v>159561</v>
      </c>
      <c r="AA223" s="284"/>
      <c r="AB223" s="285">
        <f>J7</f>
        <v>1406203.6</v>
      </c>
      <c r="AC223" s="286">
        <f>AD223/V223</f>
        <v>0.1785730875984978</v>
      </c>
      <c r="AD223" s="279">
        <f>AB223/3</f>
        <v>468734.5333333334</v>
      </c>
      <c r="AE223" s="287"/>
    </row>
    <row r="224" ht="15" customHeight="1">
      <c r="S224" s="263">
        <v>43221</v>
      </c>
      <c r="T224" s="288">
        <v>2011</v>
      </c>
      <c r="U224" s="289">
        <f>SUM(D8:D19)</f>
        <v>74829016</v>
      </c>
      <c r="V224" s="289">
        <f>U224/12</f>
        <v>6235751.333333333</v>
      </c>
      <c r="W224" s="290">
        <f>V224/V223</f>
        <v>2.375624772450695</v>
      </c>
      <c r="X224" s="291">
        <f>SUM(F8:F19)</f>
        <v>26092600</v>
      </c>
      <c r="Y224" s="292">
        <f>Z224/V224</f>
        <v>0.348696286477962</v>
      </c>
      <c r="Z224" s="293">
        <f>X224/12</f>
        <v>2174383.333333333</v>
      </c>
      <c r="AA224" s="290">
        <f>Z224/Z223</f>
        <v>13.62728569846851</v>
      </c>
      <c r="AB224" s="294">
        <f>J20</f>
        <v>20898690.4</v>
      </c>
      <c r="AC224" s="295">
        <f>AD224/V224</f>
        <v>0.2792859176445672</v>
      </c>
      <c r="AD224" s="289">
        <f>AB224/12</f>
        <v>1741557.533333333</v>
      </c>
      <c r="AE224" s="296">
        <f>AD224/AD223</f>
        <v>3.715445330960609</v>
      </c>
    </row>
    <row r="225" ht="15" customHeight="1">
      <c r="S225" s="266">
        <v>43252</v>
      </c>
      <c r="T225" s="297">
        <v>2012</v>
      </c>
      <c r="U225" s="222">
        <f>SUM(D21:D32)</f>
        <v>80137461.98799999</v>
      </c>
      <c r="V225" s="222">
        <f>U225/12</f>
        <v>6678121.832333333</v>
      </c>
      <c r="W225" s="298">
        <f>V225/V224</f>
        <v>1.070941010209195</v>
      </c>
      <c r="X225" s="299">
        <f>SUM(F21:F32)</f>
        <v>33621410.70110001</v>
      </c>
      <c r="Y225" s="300">
        <f>Z225/V225</f>
        <v>0.4195467371568939</v>
      </c>
      <c r="Z225" s="220">
        <f>X225/12</f>
        <v>2801784.225091667</v>
      </c>
      <c r="AA225" s="298">
        <f>Z225/Z224</f>
        <v>1.288541988958555</v>
      </c>
      <c r="AB225" s="301">
        <f>J33</f>
        <v>15535169.21586</v>
      </c>
      <c r="AC225" s="302">
        <f>AD225/V225</f>
        <v>0.1938565164215743</v>
      </c>
      <c r="AD225" s="222">
        <f>AB225/12</f>
        <v>1294597.434655</v>
      </c>
      <c r="AE225" s="303">
        <f>AD225/AD224</f>
        <v>0.7433561107666345</v>
      </c>
    </row>
    <row r="226" ht="15" customHeight="1">
      <c r="S226" s="263">
        <v>43282</v>
      </c>
      <c r="T226" s="288">
        <v>2013</v>
      </c>
      <c r="U226" s="289">
        <f>SUM(D34:D45)</f>
        <v>81472958</v>
      </c>
      <c r="V226" s="289">
        <f>U226/12</f>
        <v>6789413.166666667</v>
      </c>
      <c r="W226" s="290">
        <f>V226/V225</f>
        <v>1.016665064987958</v>
      </c>
      <c r="X226" s="291">
        <f>SUM(F34:F45)</f>
        <v>50162292</v>
      </c>
      <c r="Y226" s="292">
        <f>Z226/V226</f>
        <v>0.6156925344480557</v>
      </c>
      <c r="Z226" s="293">
        <f>X226/12</f>
        <v>4180191</v>
      </c>
      <c r="AA226" s="290">
        <f>Z226/Z225</f>
        <v>1.491974636220687</v>
      </c>
      <c r="AB226" s="294">
        <f>J46</f>
        <v>21680059.4</v>
      </c>
      <c r="AC226" s="295">
        <f>AD226/V226</f>
        <v>0.2661012921612592</v>
      </c>
      <c r="AD226" s="289">
        <f>AB226/12</f>
        <v>1806671.616666667</v>
      </c>
      <c r="AE226" s="296">
        <f>AD226/AD225</f>
        <v>1.395547039028492</v>
      </c>
    </row>
    <row r="227" ht="15" customHeight="1">
      <c r="S227" s="266">
        <v>43313</v>
      </c>
      <c r="T227" s="297">
        <v>2014</v>
      </c>
      <c r="U227" s="222">
        <f>SUM(D47:D58)</f>
        <v>90966043.9514</v>
      </c>
      <c r="V227" s="222">
        <f>U227/12</f>
        <v>7580503.662616666</v>
      </c>
      <c r="W227" s="298">
        <f>V227/V226</f>
        <v>1.116518243407831</v>
      </c>
      <c r="X227" s="299">
        <f>SUM(F47:F58)</f>
        <v>62397929.27939999</v>
      </c>
      <c r="Y227" s="300">
        <f>Z227/V227</f>
        <v>0.6859474873144648</v>
      </c>
      <c r="Z227" s="220">
        <f>X227/12</f>
        <v>5199827.43995</v>
      </c>
      <c r="AA227" s="298">
        <f>Z227/Z226</f>
        <v>1.243921016994199</v>
      </c>
      <c r="AB227" s="301">
        <f>J59</f>
        <v>33903249.1482</v>
      </c>
      <c r="AC227" s="302">
        <f>AD227/V227</f>
        <v>0.3727022488337882</v>
      </c>
      <c r="AD227" s="222">
        <f>AB227/12</f>
        <v>2825270.76235</v>
      </c>
      <c r="AE227" s="303">
        <f>AD227/AD226</f>
        <v>1.5637987204131</v>
      </c>
    </row>
    <row r="228" ht="15" customHeight="1">
      <c r="S228" s="263">
        <v>43344</v>
      </c>
      <c r="T228" s="288">
        <v>2015</v>
      </c>
      <c r="U228" s="289">
        <f>SUM(D60:D71)</f>
        <v>89498626</v>
      </c>
      <c r="V228" s="289">
        <f>U228/12</f>
        <v>7458218.833333333</v>
      </c>
      <c r="W228" s="290">
        <f>V228/V227</f>
        <v>0.9838685086472048</v>
      </c>
      <c r="X228" s="291">
        <f>SUM(F60:F71)</f>
        <v>56444895</v>
      </c>
      <c r="Y228" s="292">
        <f>Z228/V228</f>
        <v>0.6306789000313815</v>
      </c>
      <c r="Z228" s="293">
        <f>X228/12</f>
        <v>4703741.25</v>
      </c>
      <c r="AA228" s="290">
        <f>Z228/Z227</f>
        <v>0.9045956436672118</v>
      </c>
      <c r="AB228" s="294">
        <f>J72</f>
        <v>29954734.4</v>
      </c>
      <c r="AC228" s="295">
        <f>AD228/V228</f>
        <v>0.3346949080536722</v>
      </c>
      <c r="AD228" s="289">
        <f>AB228/12</f>
        <v>2496227.866666667</v>
      </c>
      <c r="AE228" s="296">
        <f>AD228/AD227</f>
        <v>0.8835358012165735</v>
      </c>
    </row>
    <row r="229" ht="15" customHeight="1">
      <c r="S229" s="266">
        <v>43374</v>
      </c>
      <c r="T229" s="297">
        <v>2016</v>
      </c>
      <c r="U229" s="222">
        <f>SUM(D73:D84)</f>
        <v>101490070</v>
      </c>
      <c r="V229" s="222">
        <f>U229/12</f>
        <v>8457505.833333334</v>
      </c>
      <c r="W229" s="298">
        <f>V229/V228</f>
        <v>1.133984671451828</v>
      </c>
      <c r="X229" s="299">
        <f>SUM(F73:F84)</f>
        <v>72022759</v>
      </c>
      <c r="Y229" s="300">
        <f>Z229/V229</f>
        <v>0.7096532596735817</v>
      </c>
      <c r="Z229" s="220">
        <f>X229/12</f>
        <v>6001896.583333333</v>
      </c>
      <c r="AA229" s="298">
        <f>Z229/Z228</f>
        <v>1.275983576548419</v>
      </c>
      <c r="AB229" s="301">
        <f>J85</f>
        <v>57162195.4</v>
      </c>
      <c r="AC229" s="302">
        <f>AD229/V229</f>
        <v>0.5632294410674856</v>
      </c>
      <c r="AD229" s="222">
        <f>AB229/12</f>
        <v>4763516.283333333</v>
      </c>
      <c r="AE229" s="303">
        <f>AD229/AD228</f>
        <v>1.90828583677911</v>
      </c>
    </row>
    <row r="230" ht="15" customHeight="1">
      <c r="S230" s="263">
        <v>43405</v>
      </c>
      <c r="T230" s="288">
        <v>2017</v>
      </c>
      <c r="U230" s="289">
        <f>SUM(D86:D97)</f>
        <v>9660788</v>
      </c>
      <c r="V230" s="289">
        <f>U230/2</f>
        <v>4830394</v>
      </c>
      <c r="W230" s="290">
        <f>V230/U230</f>
        <v>0.5</v>
      </c>
      <c r="X230" s="291">
        <f>SUM(F86:F97)</f>
        <v>6729152</v>
      </c>
      <c r="Y230" s="292">
        <f>Z230/V230</f>
        <v>0.6965427664906838</v>
      </c>
      <c r="Z230" s="293">
        <f>X230/2</f>
        <v>3364576</v>
      </c>
      <c r="AA230" s="290">
        <f>Z230/Z229</f>
        <v>0.56058546715768</v>
      </c>
      <c r="AB230" s="294">
        <f>J98</f>
        <v>4446125.4</v>
      </c>
      <c r="AC230" s="295">
        <f>AD230/V230</f>
        <v>0.9204477729973994</v>
      </c>
      <c r="AD230" s="289">
        <f>AB230/1</f>
        <v>4446125.4</v>
      </c>
      <c r="AE230" s="296">
        <f>AD230/AD229</f>
        <v>0.9333704632345176</v>
      </c>
    </row>
    <row r="231" ht="15.4" customHeight="1" hidden="1">
      <c r="S231" s="266">
        <v>43435</v>
      </c>
      <c r="T231" s="304">
        <v>2018</v>
      </c>
      <c r="U231" s="305">
        <f>SUM(D99:D110)</f>
        <v>0</v>
      </c>
      <c r="V231" s="305">
        <f>U231/12</f>
        <v>0</v>
      </c>
      <c r="W231" s="306">
        <f>V231/V230</f>
        <v>0</v>
      </c>
      <c r="X231" s="307">
        <f>SUM(F99:F110)</f>
        <v>0</v>
      </c>
      <c r="Y231" s="308"/>
      <c r="Z231" s="309">
        <f>X231/12</f>
        <v>0</v>
      </c>
      <c r="AA231" s="306">
        <f>Z231/Z230</f>
        <v>0</v>
      </c>
      <c r="AB231" s="310">
        <f>SUM(I99:I110)</f>
        <v>0</v>
      </c>
      <c r="AC231" s="305"/>
      <c r="AD231" s="305">
        <f>AB231/12</f>
        <v>0</v>
      </c>
      <c r="AE231" s="311">
        <f>AD231/AD230</f>
        <v>0</v>
      </c>
    </row>
    <row r="233" ht="18" customHeight="1">
      <c r="AF233" t="s" s="2">
        <v>1132</v>
      </c>
      <c r="AG233" s="2"/>
      <c r="AH233" s="2"/>
      <c r="AI233" s="2"/>
      <c r="AJ233" s="2"/>
    </row>
    <row r="234" ht="15.55" customHeight="1">
      <c r="AF234" s="313"/>
      <c r="AG234" t="s" s="314">
        <v>1063</v>
      </c>
      <c r="AH234" t="s" s="314">
        <v>1065</v>
      </c>
      <c r="AI234" t="s" s="314">
        <v>1064</v>
      </c>
      <c r="AJ234" s="313"/>
    </row>
    <row r="235" ht="15.55" customHeight="1">
      <c r="AF235" s="315"/>
      <c r="AG235" s="316"/>
      <c r="AH235" s="317"/>
      <c r="AI235" s="317"/>
      <c r="AJ235" s="317"/>
    </row>
    <row r="236" ht="15.35" customHeight="1">
      <c r="AF236" s="318"/>
      <c r="AG236" s="319"/>
      <c r="AH236" s="33"/>
      <c r="AI236" s="33"/>
      <c r="AJ236" s="33"/>
    </row>
    <row r="237" ht="15.35" customHeight="1">
      <c r="AF237" s="318"/>
      <c r="AG237" s="319"/>
      <c r="AH237" s="33"/>
      <c r="AI237" s="33"/>
      <c r="AJ237" s="33"/>
    </row>
    <row r="238" ht="15.35" customHeight="1">
      <c r="AF238" s="318"/>
      <c r="AG238" s="319"/>
      <c r="AH238" s="33"/>
      <c r="AI238" s="33"/>
      <c r="AJ238" s="33"/>
    </row>
    <row r="239" ht="15.35" customHeight="1">
      <c r="AF239" s="318"/>
      <c r="AG239" s="319"/>
      <c r="AH239" s="33"/>
      <c r="AI239" s="33"/>
      <c r="AJ239" s="33"/>
    </row>
    <row r="240" ht="15.35" customHeight="1">
      <c r="AF240" s="318"/>
      <c r="AG240" s="319"/>
      <c r="AH240" s="33"/>
      <c r="AI240" s="33"/>
      <c r="AJ240" s="33"/>
    </row>
    <row r="241" ht="15.35" customHeight="1">
      <c r="AF241" s="318"/>
      <c r="AG241" s="319"/>
      <c r="AH241" s="33"/>
      <c r="AI241" s="33"/>
      <c r="AJ241" s="33"/>
    </row>
    <row r="242" ht="15.35" customHeight="1">
      <c r="AF242" s="318"/>
      <c r="AG242" s="319"/>
      <c r="AH242" s="33"/>
      <c r="AI242" s="33"/>
      <c r="AJ242" s="33"/>
    </row>
    <row r="243" ht="15.35" customHeight="1">
      <c r="AF243" s="318"/>
      <c r="AG243" s="319"/>
      <c r="AH243" s="33"/>
      <c r="AI243" s="33"/>
      <c r="AJ243" s="33"/>
    </row>
  </sheetData>
  <mergeCells count="18">
    <mergeCell ref="A1:J1"/>
    <mergeCell ref="A4:A6"/>
    <mergeCell ref="A8:A19"/>
    <mergeCell ref="A21:A32"/>
    <mergeCell ref="A34:A45"/>
    <mergeCell ref="A47:A58"/>
    <mergeCell ref="A60:A71"/>
    <mergeCell ref="A73:A84"/>
    <mergeCell ref="A86:A97"/>
    <mergeCell ref="A99:A110"/>
    <mergeCell ref="C2:D2"/>
    <mergeCell ref="E2:F2"/>
    <mergeCell ref="K113:R113"/>
    <mergeCell ref="T220:AE220"/>
    <mergeCell ref="T221:W221"/>
    <mergeCell ref="X221:AA221"/>
    <mergeCell ref="AB221:AE221"/>
    <mergeCell ref="AF233:AJ233"/>
  </mergeCells>
  <pageMargins left="0.80315" right="0.80315" top="0.80315" bottom="0.80315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2:AJ243"/>
  <sheetViews>
    <sheetView workbookViewId="0" showGridLines="0" defaultGridColor="1">
      <pane topLeftCell="A4" xSplit="0" ySplit="3" activePane="bottomLeft" state="frozen"/>
    </sheetView>
  </sheetViews>
  <sheetFormatPr defaultColWidth="10.8333" defaultRowHeight="13.4" customHeight="1" outlineLevelRow="0" outlineLevelCol="0"/>
  <cols>
    <col min="1" max="2" width="14.8516" style="320" customWidth="1"/>
    <col min="3" max="3" hidden="1" width="10.8333" style="320" customWidth="1"/>
    <col min="4" max="4" width="12.6719" style="320" customWidth="1"/>
    <col min="5" max="5" hidden="1" width="10.8333" style="320" customWidth="1"/>
    <col min="6" max="6" width="12.6719" style="320" customWidth="1"/>
    <col min="7" max="7" width="11.1719" style="320" customWidth="1"/>
    <col min="8" max="8" width="10.3516" style="320" customWidth="1"/>
    <col min="9" max="9" width="12.3516" style="320" customWidth="1"/>
    <col min="10" max="10" width="11" style="320" customWidth="1"/>
    <col min="11" max="11" hidden="1" width="10.8333" style="321" customWidth="1"/>
    <col min="12" max="12" width="6.00781" style="321" customWidth="1"/>
    <col min="13" max="13" width="11.1719" style="321" customWidth="1"/>
    <col min="14" max="14" width="9.35156" style="321" customWidth="1"/>
    <col min="15" max="15" width="11" style="321" customWidth="1"/>
    <col min="16" max="16" width="12.0938" style="321" customWidth="1"/>
    <col min="17" max="17" width="9.85156" style="321" customWidth="1"/>
    <col min="18" max="18" width="8.17188" style="321" customWidth="1"/>
    <col min="19" max="19" width="11.1094" style="321" customWidth="1"/>
    <col min="20" max="20" width="14.6016" style="321" customWidth="1"/>
    <col min="21" max="21" width="11.7734" style="321" customWidth="1"/>
    <col min="22" max="22" width="9.35156" style="321" customWidth="1"/>
    <col min="23" max="23" width="11.1875" style="321" customWidth="1"/>
    <col min="24" max="24" width="12.8047" style="325" customWidth="1"/>
    <col min="25" max="30" hidden="1" width="10.8333" style="325" customWidth="1"/>
    <col min="31" max="31" width="9.35156" style="325" customWidth="1"/>
    <col min="32" max="36" width="16.3516" style="326" customWidth="1"/>
    <col min="37" max="256" width="10.8516" style="326" customWidth="1"/>
  </cols>
  <sheetData>
    <row r="1" ht="32" customHeight="1">
      <c r="A1" t="s" s="202">
        <v>1071</v>
      </c>
      <c r="B1" s="202"/>
      <c r="C1" s="202"/>
      <c r="D1" s="202"/>
      <c r="E1" s="202"/>
      <c r="F1" s="202"/>
      <c r="G1" s="202"/>
      <c r="H1" s="202"/>
      <c r="I1" s="202"/>
      <c r="J1" s="202"/>
    </row>
    <row r="2" ht="34.75" customHeight="1">
      <c r="A2" s="203"/>
      <c r="B2" s="204"/>
      <c r="C2" t="s" s="205">
        <v>1072</v>
      </c>
      <c r="D2" t="s" s="205">
        <v>1072</v>
      </c>
      <c r="E2" t="s" s="205">
        <v>1073</v>
      </c>
      <c r="F2" t="s" s="205">
        <v>1073</v>
      </c>
      <c r="G2" s="207"/>
      <c r="H2" s="207"/>
      <c r="I2" s="207"/>
      <c r="J2" s="208"/>
    </row>
    <row r="3" ht="34.55" customHeight="1">
      <c r="A3" s="209"/>
      <c r="B3" t="s" s="210">
        <v>1074</v>
      </c>
      <c r="C3" t="s" s="210">
        <v>1075</v>
      </c>
      <c r="D3" t="s" s="210">
        <v>5</v>
      </c>
      <c r="E3" t="s" s="210">
        <v>1075</v>
      </c>
      <c r="F3" t="s" s="210">
        <v>5</v>
      </c>
      <c r="G3" t="s" s="210">
        <v>1063</v>
      </c>
      <c r="H3" t="s" s="210">
        <v>1076</v>
      </c>
      <c r="I3" t="s" s="210">
        <v>1077</v>
      </c>
      <c r="J3" t="s" s="211">
        <v>1078</v>
      </c>
    </row>
    <row r="4" ht="16" customHeight="1">
      <c r="A4" s="212">
        <v>2010</v>
      </c>
      <c r="B4" t="s" s="213">
        <f>CONCATENATE(K122," ",L$116)</f>
        <v>13</v>
      </c>
      <c r="C4" s="214">
        <f>LOOKUP($B4,'PlusGroup'!B2:B1489,'PlusGroup'!A2:A1489)</f>
        <v>5</v>
      </c>
      <c r="D4" s="215">
        <f>LOOKUP($B4,'PlusGroup'!B2:B1489,'PlusGroup'!E2:E1489)</f>
        <v>2571609</v>
      </c>
      <c r="E4" s="214">
        <f>LOOKUP($B4,'PlusGroup'!B2:B1489,'PlusGroup'!J2:J1489)</f>
        <v>0</v>
      </c>
      <c r="F4" s="216">
        <f>LOOKUP($B4,'PlusGroup'!B2:B1489,'PlusGroup'!H2:H1489)</f>
        <v>0</v>
      </c>
      <c r="G4" s="216">
        <v>0</v>
      </c>
      <c r="H4" s="216">
        <v>50000</v>
      </c>
      <c r="I4" s="216">
        <v>250000</v>
      </c>
      <c r="J4" s="217">
        <f>((D4-F4)*0.4+F4)-SUM(G4:I4)</f>
        <v>728643.6000000001</v>
      </c>
    </row>
    <row r="5" ht="15" customHeight="1">
      <c r="A5" s="218"/>
      <c r="B5" t="s" s="219">
        <f>CONCATENATE(K123," ",L$116)</f>
        <v>17</v>
      </c>
      <c r="C5" s="220">
        <f>LOOKUP($B5,'PlusGroup'!B2:B1489,'PlusGroup'!A2:A1489)</f>
        <v>4</v>
      </c>
      <c r="D5" s="221">
        <f>LOOKUP($B5,'PlusGroup'!B2:B1489,'PlusGroup'!E2:E1489)</f>
        <v>1882295</v>
      </c>
      <c r="E5" s="220">
        <f>LOOKUP($B5,'PlusGroup'!B2:B1489,'PlusGroup'!J2:J1489)</f>
        <v>0</v>
      </c>
      <c r="F5" s="222">
        <f>LOOKUP($B5,'PlusGroup'!B2:B1489,'PlusGroup'!H2:H1489)</f>
        <v>0</v>
      </c>
      <c r="G5" s="222">
        <v>0</v>
      </c>
      <c r="H5" s="222">
        <v>50000</v>
      </c>
      <c r="I5" s="222">
        <v>250000</v>
      </c>
      <c r="J5" s="223">
        <f>((D5-F5)*0.4+F5)-SUM(G5:I5)</f>
        <v>452918</v>
      </c>
    </row>
    <row r="6" ht="15.5" customHeight="1">
      <c r="A6" s="224"/>
      <c r="B6" t="s" s="213">
        <f>CONCATENATE(K124," ",L$116)</f>
        <v>28</v>
      </c>
      <c r="C6" s="214">
        <f>LOOKUP($B6,'PlusGroup'!B2:B1489,'PlusGroup'!A2:A1489)</f>
        <v>11</v>
      </c>
      <c r="D6" s="215">
        <f>LOOKUP($B6,'PlusGroup'!B2:B1489,'PlusGroup'!E2:E1489)</f>
        <v>3420763</v>
      </c>
      <c r="E6" s="214">
        <f>LOOKUP($B6,'PlusGroup'!B2:B1489,'PlusGroup'!J2:J1489)</f>
        <v>3</v>
      </c>
      <c r="F6" s="216">
        <f>LOOKUP($B6,'PlusGroup'!B2:B1489,'PlusGroup'!H2:H1489)</f>
        <v>478683</v>
      </c>
      <c r="G6" s="216">
        <v>1090873</v>
      </c>
      <c r="H6" s="216">
        <v>90000</v>
      </c>
      <c r="I6" s="216">
        <v>250000</v>
      </c>
      <c r="J6" s="217">
        <f>((D6-F6)*0.4+F6)-SUM(G6:I6)</f>
        <v>224642</v>
      </c>
    </row>
    <row r="7" ht="16" customHeight="1">
      <c r="A7" s="225"/>
      <c r="B7" s="226"/>
      <c r="C7" s="227">
        <f>SUM(C4:C6)</f>
        <v>20</v>
      </c>
      <c r="D7" s="228">
        <f>SUM(D4:D6)</f>
        <v>7874667</v>
      </c>
      <c r="E7" s="227">
        <f>SUM(E4:E6)</f>
        <v>3</v>
      </c>
      <c r="F7" s="229">
        <f>SUM(F4:F6)</f>
        <v>478683</v>
      </c>
      <c r="G7" s="229">
        <f>SUM(G4:G6)</f>
        <v>1090873</v>
      </c>
      <c r="H7" s="229">
        <f>SUM(H4:H6)</f>
        <v>190000</v>
      </c>
      <c r="I7" s="229">
        <f>SUM(I4:I6)</f>
        <v>750000</v>
      </c>
      <c r="J7" s="230">
        <f>SUM(J4:J6)</f>
        <v>1406203.6</v>
      </c>
    </row>
    <row r="8" ht="15.5" customHeight="1">
      <c r="A8" s="231">
        <v>2011</v>
      </c>
      <c r="B8" t="s" s="213">
        <f>CONCATENATE(K113," ",L$117)</f>
        <v>48</v>
      </c>
      <c r="C8" s="214">
        <f>LOOKUP($B8,'PlusGroup'!B2:B1489,'PlusGroup'!A2:A1489)</f>
        <v>26</v>
      </c>
      <c r="D8" s="215">
        <f>LOOKUP($B8,'PlusGroup'!B2:B1489,'PlusGroup'!E2:E1489)</f>
        <v>4993510</v>
      </c>
      <c r="E8" s="214">
        <f>LOOKUP($B8,'PlusGroup'!B2:B1489,'PlusGroup'!J2:J1489)</f>
        <v>4</v>
      </c>
      <c r="F8" s="216">
        <f>LOOKUP($B8,'PlusGroup'!B2:B1489,'PlusGroup'!H2:H1489)</f>
        <v>490600</v>
      </c>
      <c r="G8" s="216">
        <f>AE128</f>
        <v>1090873</v>
      </c>
      <c r="H8" s="216">
        <v>90000</v>
      </c>
      <c r="I8" s="216">
        <v>275000</v>
      </c>
      <c r="J8" s="217">
        <f>((D8-F8)*0.4+F8)-SUM(G8:I8)</f>
        <v>835891</v>
      </c>
    </row>
    <row r="9" ht="15" customHeight="1">
      <c r="A9" s="218"/>
      <c r="B9" t="s" s="219">
        <f>CONCATENATE(K114," ",L$117)</f>
        <v>67</v>
      </c>
      <c r="C9" s="220">
        <f>LOOKUP($B9,'PlusGroup'!B2:B1489,'PlusGroup'!A2:A1489)</f>
        <v>18</v>
      </c>
      <c r="D9" s="221">
        <f>LOOKUP($B9,'PlusGroup'!B2:B1489,'PlusGroup'!E2:E1489)</f>
        <v>5713170</v>
      </c>
      <c r="E9" s="220">
        <f>LOOKUP($B9,'PlusGroup'!B2:B1489,'PlusGroup'!J2:J1489)</f>
        <v>7</v>
      </c>
      <c r="F9" s="222">
        <f>LOOKUP($B9,'PlusGroup'!B2:B1489,'PlusGroup'!H2:H1489)</f>
        <v>777125</v>
      </c>
      <c r="G9" s="222">
        <f>AE129</f>
        <v>1090873</v>
      </c>
      <c r="H9" s="222">
        <v>90000</v>
      </c>
      <c r="I9" s="222">
        <v>275000</v>
      </c>
      <c r="J9" s="223">
        <f>((D9-F9)*0.4+F9)-SUM(G9:I9)</f>
        <v>1295670</v>
      </c>
    </row>
    <row r="10" ht="15" customHeight="1">
      <c r="A10" s="232"/>
      <c r="B10" t="s" s="213">
        <f>CONCATENATE(K115," ",L$117)</f>
        <v>83</v>
      </c>
      <c r="C10" s="214">
        <f>LOOKUP($B10,'PlusGroup'!B2:B1489,'PlusGroup'!A2:A1489)</f>
        <v>21</v>
      </c>
      <c r="D10" s="215">
        <f>LOOKUP($B10,'PlusGroup'!B2:B1489,'PlusGroup'!E2:E1489)</f>
        <v>3132747</v>
      </c>
      <c r="E10" s="214">
        <f>LOOKUP($B10,'PlusGroup'!B2:B1489,'PlusGroup'!J2:J1489)</f>
        <v>6</v>
      </c>
      <c r="F10" s="216">
        <f>LOOKUP($B10,'PlusGroup'!B2:B1489,'PlusGroup'!H2:H1489)</f>
        <v>636125</v>
      </c>
      <c r="G10" s="216">
        <f>AE130</f>
        <v>1682873</v>
      </c>
      <c r="H10" s="216">
        <v>120000</v>
      </c>
      <c r="I10" s="216">
        <v>275000</v>
      </c>
      <c r="J10" s="217">
        <f>((D10-F10)*0.4+F10)-SUM(G10:I10)</f>
        <v>-443099.2</v>
      </c>
    </row>
    <row r="11" ht="15" customHeight="1">
      <c r="A11" s="218"/>
      <c r="B11" t="s" s="219">
        <f>CONCATENATE(K116," ",L$117)</f>
        <v>99</v>
      </c>
      <c r="C11" s="220">
        <f>LOOKUP($B11,'PlusGroup'!B2:B1489,'PlusGroup'!A2:A1489)</f>
        <v>21</v>
      </c>
      <c r="D11" s="221">
        <f>LOOKUP($B11,'PlusGroup'!B2:B1489,'PlusGroup'!E2:E1489)</f>
        <v>5530060</v>
      </c>
      <c r="E11" s="220">
        <f>LOOKUP($B11,'PlusGroup'!B2:B1489,'PlusGroup'!J2:J1489)</f>
        <v>9</v>
      </c>
      <c r="F11" s="222">
        <f>LOOKUP($B11,'PlusGroup'!B2:B1489,'PlusGroup'!H2:H1489)</f>
        <v>1698643</v>
      </c>
      <c r="G11" s="222">
        <f>AE131</f>
        <v>1682873</v>
      </c>
      <c r="H11" s="222">
        <v>120000</v>
      </c>
      <c r="I11" s="222">
        <v>275000</v>
      </c>
      <c r="J11" s="223">
        <f>((D11-F11)*0.4+F11)-SUM(G11:I11)</f>
        <v>1153336.8</v>
      </c>
    </row>
    <row r="12" ht="15" customHeight="1">
      <c r="A12" s="232"/>
      <c r="B12" t="s" s="213">
        <f>CONCATENATE(K117," ",L$117)</f>
        <v>118</v>
      </c>
      <c r="C12" s="214">
        <f>LOOKUP($B12,'PlusGroup'!B2:B1489,'PlusGroup'!A2:A1489)</f>
        <v>25</v>
      </c>
      <c r="D12" s="215">
        <f>LOOKUP($B12,'PlusGroup'!B2:B1489,'PlusGroup'!E2:E1489)</f>
        <v>7412842</v>
      </c>
      <c r="E12" s="214">
        <f>LOOKUP($B12,'PlusGroup'!B2:B1489,'PlusGroup'!J2:J1489)</f>
        <v>10</v>
      </c>
      <c r="F12" s="216">
        <f>LOOKUP($B12,'PlusGroup'!B2:B1489,'PlusGroup'!H2:H1489)</f>
        <v>1718324</v>
      </c>
      <c r="G12" s="216">
        <f>AE132</f>
        <v>1682873</v>
      </c>
      <c r="H12" s="216">
        <v>120000</v>
      </c>
      <c r="I12" s="216">
        <v>275000</v>
      </c>
      <c r="J12" s="217">
        <f>((D12-F12)*0.4+F12)-SUM(G12:I12)</f>
        <v>1918258.2</v>
      </c>
    </row>
    <row r="13" ht="15" customHeight="1">
      <c r="A13" s="218"/>
      <c r="B13" t="s" s="219">
        <f>CONCATENATE(K118," ",L$117)</f>
        <v>138</v>
      </c>
      <c r="C13" s="220">
        <f>LOOKUP($B13,'PlusGroup'!B2:B1489,'PlusGroup'!A2:A1489)</f>
        <v>30</v>
      </c>
      <c r="D13" s="221">
        <f>LOOKUP($B13,'PlusGroup'!B2:B1489,'PlusGroup'!E2:E1489)</f>
        <v>6822060</v>
      </c>
      <c r="E13" s="220">
        <f>LOOKUP($B13,'PlusGroup'!B2:B1489,'PlusGroup'!J2:J1489)</f>
        <v>13</v>
      </c>
      <c r="F13" s="222">
        <f>LOOKUP($B13,'PlusGroup'!B2:B1489,'PlusGroup'!H2:H1489)</f>
        <v>2582575</v>
      </c>
      <c r="G13" s="222">
        <f>AE133</f>
        <v>1682873</v>
      </c>
      <c r="H13" s="222">
        <v>120000</v>
      </c>
      <c r="I13" s="222">
        <v>275000</v>
      </c>
      <c r="J13" s="223">
        <f>((D13-F13)*0.4+F13)-SUM(G13:I13)</f>
        <v>2200496</v>
      </c>
    </row>
    <row r="14" ht="15" customHeight="1">
      <c r="A14" s="232"/>
      <c r="B14" t="s" s="213">
        <f>CONCATENATE(K119," ",L$117)</f>
        <v>158</v>
      </c>
      <c r="C14" s="214">
        <f>LOOKUP($B14,'PlusGroup'!B2:B1489,'PlusGroup'!A2:A1489)</f>
        <v>36</v>
      </c>
      <c r="D14" s="215">
        <f>LOOKUP($B14,'PlusGroup'!B2:B1489,'PlusGroup'!E2:E1489)</f>
        <v>9956811</v>
      </c>
      <c r="E14" s="214">
        <f>LOOKUP($B14,'PlusGroup'!B2:B1489,'PlusGroup'!J2:J1489)</f>
        <v>21</v>
      </c>
      <c r="F14" s="216">
        <f>LOOKUP($B14,'PlusGroup'!B2:B1489,'PlusGroup'!H2:H1489)</f>
        <v>3224826</v>
      </c>
      <c r="G14" s="216">
        <f>AE134</f>
        <v>1682873</v>
      </c>
      <c r="H14" s="216">
        <v>120000</v>
      </c>
      <c r="I14" s="216">
        <v>275000</v>
      </c>
      <c r="J14" s="217">
        <f>((D14-F14)*0.4+F14)-SUM(G14:I14)</f>
        <v>3839747</v>
      </c>
    </row>
    <row r="15" ht="15" customHeight="1">
      <c r="A15" s="218"/>
      <c r="B15" t="s" s="219">
        <f>CONCATENATE(K120," ",L$117)</f>
        <v>178</v>
      </c>
      <c r="C15" s="220">
        <f>LOOKUP($B15,'PlusGroup'!B2:B1489,'PlusGroup'!A2:A1489)</f>
        <v>28</v>
      </c>
      <c r="D15" s="221">
        <f>LOOKUP($B15,'PlusGroup'!B2:B1489,'PlusGroup'!E2:E1489)</f>
        <v>8463746</v>
      </c>
      <c r="E15" s="220">
        <f>LOOKUP($B15,'PlusGroup'!B2:B1489,'PlusGroup'!J2:J1489)</f>
        <v>13</v>
      </c>
      <c r="F15" s="222">
        <f>LOOKUP($B15,'PlusGroup'!B2:B1489,'PlusGroup'!H2:H1489)</f>
        <v>2600075</v>
      </c>
      <c r="G15" s="222">
        <f>AE135</f>
        <v>1682873</v>
      </c>
      <c r="H15" s="222">
        <v>120000</v>
      </c>
      <c r="I15" s="222">
        <v>275000</v>
      </c>
      <c r="J15" s="223">
        <f>((D15-F15)*0.4+F15)-SUM(G15:I15)</f>
        <v>2867670.4</v>
      </c>
    </row>
    <row r="16" ht="15" customHeight="1">
      <c r="A16" s="232"/>
      <c r="B16" t="s" s="213">
        <f>CONCATENATE(K121," ",L$117)</f>
        <v>194</v>
      </c>
      <c r="C16" s="214">
        <f>LOOKUP($B16,'PlusGroup'!B2:B1489,'PlusGroup'!A2:A1489)</f>
        <v>25</v>
      </c>
      <c r="D16" s="215">
        <f>LOOKUP($B16,'PlusGroup'!B2:B1489,'PlusGroup'!E2:E1489)</f>
        <v>5709193</v>
      </c>
      <c r="E16" s="214">
        <f>LOOKUP($B16,'PlusGroup'!B2:B1489,'PlusGroup'!J2:J1489)</f>
        <v>15</v>
      </c>
      <c r="F16" s="216">
        <f>LOOKUP($B16,'PlusGroup'!B2:B1489,'PlusGroup'!H2:H1489)</f>
        <v>2458593</v>
      </c>
      <c r="G16" s="216">
        <f>AE136</f>
        <v>1682873</v>
      </c>
      <c r="H16" s="216">
        <v>120000</v>
      </c>
      <c r="I16" s="216">
        <v>275000</v>
      </c>
      <c r="J16" s="217">
        <f>((D16-F16)*0.4+F16)-SUM(G16:I16)</f>
        <v>1680960</v>
      </c>
    </row>
    <row r="17" ht="15" customHeight="1">
      <c r="A17" s="218"/>
      <c r="B17" t="s" s="219">
        <f>CONCATENATE(K122," ",L$117)</f>
        <v>206</v>
      </c>
      <c r="C17" s="220">
        <f>LOOKUP($B17,'PlusGroup'!B2:B1489,'PlusGroup'!A2:A1489)</f>
        <v>23</v>
      </c>
      <c r="D17" s="221">
        <f>LOOKUP($B17,'PlusGroup'!B2:B1489,'PlusGroup'!E2:E1489)</f>
        <v>6691503</v>
      </c>
      <c r="E17" s="220">
        <f>LOOKUP($B17,'PlusGroup'!B2:B1489,'PlusGroup'!J2:J1489)</f>
        <v>16</v>
      </c>
      <c r="F17" s="222">
        <f>LOOKUP($B17,'PlusGroup'!B2:B1489,'PlusGroup'!H2:H1489)</f>
        <v>4104323</v>
      </c>
      <c r="G17" s="222">
        <f>AE137</f>
        <v>1978873</v>
      </c>
      <c r="H17" s="222">
        <v>135000</v>
      </c>
      <c r="I17" s="222">
        <v>275000</v>
      </c>
      <c r="J17" s="223">
        <f>((D17-F17)*0.4+F17)-SUM(G17:I17)</f>
        <v>2750322</v>
      </c>
    </row>
    <row r="18" ht="15" customHeight="1">
      <c r="A18" s="232"/>
      <c r="B18" t="s" s="213">
        <f>CONCATENATE(K123," ",L$117)</f>
        <v>215</v>
      </c>
      <c r="C18" s="214">
        <f>LOOKUP($B18,'PlusGroup'!B2:B1489,'PlusGroup'!A2:A1489)</f>
        <v>17</v>
      </c>
      <c r="D18" s="215">
        <f>LOOKUP($B18,'PlusGroup'!B2:B1489,'PlusGroup'!E2:E1489)</f>
        <v>2224128</v>
      </c>
      <c r="E18" s="214">
        <f>LOOKUP($B18,'PlusGroup'!B2:B1489,'PlusGroup'!J2:J1489)</f>
        <v>13</v>
      </c>
      <c r="F18" s="216">
        <f>LOOKUP($B18,'PlusGroup'!B2:B1489,'PlusGroup'!H2:H1489)</f>
        <v>2591745</v>
      </c>
      <c r="G18" s="216">
        <f>AE138</f>
        <v>1978873</v>
      </c>
      <c r="H18" s="216">
        <v>135000</v>
      </c>
      <c r="I18" s="216">
        <v>275000</v>
      </c>
      <c r="J18" s="217">
        <f>((D18-F18)*0.4+F18)-SUM(G18:I18)</f>
        <v>55825.200000000186</v>
      </c>
    </row>
    <row r="19" ht="15.5" customHeight="1">
      <c r="A19" s="233"/>
      <c r="B19" t="s" s="219">
        <f>CONCATENATE(K124," ",L$117)</f>
        <v>233</v>
      </c>
      <c r="C19" s="220">
        <f>LOOKUP($B19,'PlusGroup'!B2:B1489,'PlusGroup'!A2:A1489)</f>
        <v>29</v>
      </c>
      <c r="D19" s="221">
        <f>LOOKUP($B19,'PlusGroup'!B2:B1489,'PlusGroup'!E2:E1489)</f>
        <v>8179246</v>
      </c>
      <c r="E19" s="220">
        <f>LOOKUP($B19,'PlusGroup'!B2:B1489,'PlusGroup'!J2:J1489)</f>
        <v>14</v>
      </c>
      <c r="F19" s="222">
        <f>LOOKUP($B19,'PlusGroup'!B2:B1489,'PlusGroup'!H2:H1489)</f>
        <v>3209646</v>
      </c>
      <c r="G19" s="222">
        <f>AE139</f>
        <v>2043873</v>
      </c>
      <c r="H19" s="222">
        <v>135000</v>
      </c>
      <c r="I19" s="222">
        <v>275000</v>
      </c>
      <c r="J19" s="223">
        <f>((D19-F19)*0.4+F19)-SUM(G19:I19)</f>
        <v>2743613</v>
      </c>
    </row>
    <row r="20" ht="16" customHeight="1">
      <c r="A20" s="225"/>
      <c r="B20" s="226"/>
      <c r="C20" s="227">
        <f>SUM(C8:C19)</f>
        <v>299</v>
      </c>
      <c r="D20" s="228">
        <f>SUM(D8:D19)</f>
        <v>74829016</v>
      </c>
      <c r="E20" s="227">
        <f>SUM(E8:E19)</f>
        <v>141</v>
      </c>
      <c r="F20" s="229">
        <f>SUM(F8:F19)</f>
        <v>26092600</v>
      </c>
      <c r="G20" s="229">
        <f>SUM(G8:G19)</f>
        <v>19963476</v>
      </c>
      <c r="H20" s="229">
        <f>SUM(H8:H19)</f>
        <v>1425000</v>
      </c>
      <c r="I20" s="229">
        <f>SUM(I8:I19)</f>
        <v>3300000</v>
      </c>
      <c r="J20" s="230">
        <f>SUM(J8:J19)</f>
        <v>20898690.4</v>
      </c>
    </row>
    <row r="21" ht="15.5" customHeight="1">
      <c r="A21" s="212">
        <v>2012</v>
      </c>
      <c r="B21" t="s" s="219">
        <f>CONCATENATE(K113," ",L$118)</f>
        <v>246</v>
      </c>
      <c r="C21" s="220">
        <f>LOOKUP($B21,'PlusGroup'!B2:B1489,'PlusGroup'!A2:A1489)</f>
        <v>24</v>
      </c>
      <c r="D21" s="221">
        <f>LOOKUP($B21,'PlusGroup'!B2:B1489,'PlusGroup'!E2:E1489)</f>
        <v>8352776.286900001</v>
      </c>
      <c r="E21" s="220">
        <f>LOOKUP($B21,'PlusGroup'!B2:B1489,'PlusGroup'!J2:J1489)</f>
        <v>13</v>
      </c>
      <c r="F21" s="222">
        <f>LOOKUP($B21,'PlusGroup'!B2:B1489,'PlusGroup'!H2:H1489)</f>
        <v>2554282</v>
      </c>
      <c r="G21" s="222">
        <f>AE141</f>
        <v>2152623</v>
      </c>
      <c r="H21" s="222">
        <v>135000</v>
      </c>
      <c r="I21" s="222">
        <v>300000</v>
      </c>
      <c r="J21" s="223">
        <f>((D21-F21)*0.4+F21)-SUM(G21:I21)</f>
        <v>2286056.71476</v>
      </c>
    </row>
    <row r="22" ht="15" customHeight="1">
      <c r="A22" s="232"/>
      <c r="B22" t="s" s="213">
        <f>CONCATENATE(K114," ",L$118)</f>
        <v>260</v>
      </c>
      <c r="C22" s="214">
        <f>LOOKUP($B22,'PlusGroup'!B2:B1489,'PlusGroup'!A2:A1489)</f>
        <v>21</v>
      </c>
      <c r="D22" s="215">
        <f>LOOKUP($B22,'PlusGroup'!B2:B1489,'PlusGroup'!E2:E1489)</f>
        <v>10495670.747</v>
      </c>
      <c r="E22" s="214">
        <f>LOOKUP($B22,'PlusGroup'!B2:B1489,'PlusGroup'!J2:J1489)</f>
        <v>14</v>
      </c>
      <c r="F22" s="216">
        <f>LOOKUP($B22,'PlusGroup'!B2:B1489,'PlusGroup'!H2:H1489)</f>
        <v>2141950.747</v>
      </c>
      <c r="G22" s="216">
        <f>AE142</f>
        <v>2152623</v>
      </c>
      <c r="H22" s="216">
        <v>135000</v>
      </c>
      <c r="I22" s="216">
        <v>300000</v>
      </c>
      <c r="J22" s="217">
        <f>((D22-F22)*0.4+F22)-SUM(G22:I22)</f>
        <v>2895815.747</v>
      </c>
    </row>
    <row r="23" ht="15" customHeight="1">
      <c r="A23" s="218"/>
      <c r="B23" t="s" s="219">
        <f>CONCATENATE(K115," ",L$118)</f>
        <v>274</v>
      </c>
      <c r="C23" s="220">
        <f>LOOKUP($B23,'PlusGroup'!B2:B1489,'PlusGroup'!A2:A1489)</f>
        <v>27</v>
      </c>
      <c r="D23" s="221">
        <f>LOOKUP($B23,'PlusGroup'!B2:B1489,'PlusGroup'!E2:E1489)</f>
        <v>7297535.01</v>
      </c>
      <c r="E23" s="220">
        <f>LOOKUP($B23,'PlusGroup'!B2:B1489,'PlusGroup'!J2:J1489)</f>
        <v>16</v>
      </c>
      <c r="F23" s="222">
        <f>LOOKUP($B23,'PlusGroup'!B2:B1489,'PlusGroup'!H2:H1489)</f>
        <v>2740345.01</v>
      </c>
      <c r="G23" s="222">
        <f>AE143</f>
        <v>2084149</v>
      </c>
      <c r="H23" s="222">
        <v>135000</v>
      </c>
      <c r="I23" s="222">
        <v>300000</v>
      </c>
      <c r="J23" s="223">
        <f>((D23-F23)*0.4+F23)-SUM(G23:I23)</f>
        <v>2044072.01</v>
      </c>
    </row>
    <row r="24" ht="15" customHeight="1">
      <c r="A24" s="232"/>
      <c r="B24" t="s" s="213">
        <f>CONCATENATE(K116," ",L$118)</f>
        <v>282</v>
      </c>
      <c r="C24" s="214">
        <f>LOOKUP($B24,'PlusGroup'!B2:B1489,'PlusGroup'!A2:A1489)</f>
        <v>24</v>
      </c>
      <c r="D24" s="215">
        <f>LOOKUP($B24,'PlusGroup'!B2:B1489,'PlusGroup'!E2:E1489)</f>
        <v>5471114.9205</v>
      </c>
      <c r="E24" s="214">
        <f>LOOKUP($B24,'PlusGroup'!B2:B1489,'PlusGroup'!J2:J1489)</f>
        <v>18</v>
      </c>
      <c r="F24" s="216">
        <f>LOOKUP($B24,'PlusGroup'!B2:B1489,'PlusGroup'!H2:H1489)</f>
        <v>3524114.9205</v>
      </c>
      <c r="G24" s="216">
        <f>AE144</f>
        <v>1826431</v>
      </c>
      <c r="H24" s="216">
        <v>120000</v>
      </c>
      <c r="I24" s="216">
        <v>300000</v>
      </c>
      <c r="J24" s="217">
        <f>((D24-F24)*0.4+F24)-SUM(G24:I24)</f>
        <v>2056483.9205</v>
      </c>
    </row>
    <row r="25" ht="15" customHeight="1">
      <c r="A25" s="218"/>
      <c r="B25" t="s" s="219">
        <f>CONCATENATE(K117," ",L$118)</f>
        <v>288</v>
      </c>
      <c r="C25" s="220">
        <f>LOOKUP($B25,'PlusGroup'!B2:B1489,'PlusGroup'!A2:A1489)</f>
        <v>22</v>
      </c>
      <c r="D25" s="221">
        <f>LOOKUP($B25,'PlusGroup'!B2:B1489,'PlusGroup'!E2:E1489)</f>
        <v>4826843</v>
      </c>
      <c r="E25" s="220">
        <f>LOOKUP($B25,'PlusGroup'!B2:B1489,'PlusGroup'!J2:J1489)</f>
        <v>17</v>
      </c>
      <c r="F25" s="222">
        <f>LOOKUP($B25,'PlusGroup'!B2:B1489,'PlusGroup'!H2:H1489)</f>
        <v>4021909</v>
      </c>
      <c r="G25" s="222">
        <f>AE145</f>
        <v>1826431</v>
      </c>
      <c r="H25" s="222">
        <v>120000</v>
      </c>
      <c r="I25" s="222">
        <v>300000</v>
      </c>
      <c r="J25" s="223">
        <f>((D25-F25)*0.4+F25)-SUM(G25:I25)</f>
        <v>2097451.6</v>
      </c>
    </row>
    <row r="26" ht="15" customHeight="1">
      <c r="A26" s="232"/>
      <c r="B26" t="s" s="213">
        <f>CONCATENATE(K118," ",L$118)</f>
        <v>292</v>
      </c>
      <c r="C26" s="214">
        <f>LOOKUP($B26,'PlusGroup'!B2:B1489,'PlusGroup'!A2:A1489)</f>
        <v>15</v>
      </c>
      <c r="D26" s="215">
        <f>LOOKUP($B26,'PlusGroup'!B2:B1489,'PlusGroup'!E2:E1489)</f>
        <v>3084367</v>
      </c>
      <c r="E26" s="214">
        <f>LOOKUP($B26,'PlusGroup'!B2:B1489,'PlusGroup'!J2:J1489)</f>
        <v>12</v>
      </c>
      <c r="F26" s="216">
        <f>LOOKUP($B26,'PlusGroup'!B2:B1489,'PlusGroup'!H2:H1489)</f>
        <v>2011083</v>
      </c>
      <c r="G26" s="216">
        <f>AE146</f>
        <v>1836431</v>
      </c>
      <c r="H26" s="216">
        <v>120000</v>
      </c>
      <c r="I26" s="216">
        <v>300000</v>
      </c>
      <c r="J26" s="217">
        <f>((D26-F26)*0.4+F26)-SUM(G26:I26)</f>
        <v>183965.6000000001</v>
      </c>
    </row>
    <row r="27" ht="15" customHeight="1">
      <c r="A27" s="218"/>
      <c r="B27" t="s" s="219">
        <f>CONCATENATE(K119," ",L$118)</f>
        <v>297</v>
      </c>
      <c r="C27" s="220">
        <f>LOOKUP($B27,'PlusGroup'!B2:B1489,'PlusGroup'!A2:A1489)</f>
        <v>21</v>
      </c>
      <c r="D27" s="221">
        <f>LOOKUP($B27,'PlusGroup'!B2:B1489,'PlusGroup'!E2:E1489)</f>
        <v>5549037.0236</v>
      </c>
      <c r="E27" s="220">
        <f>LOOKUP($B27,'PlusGroup'!B2:B1489,'PlusGroup'!J2:J1489)</f>
        <v>15</v>
      </c>
      <c r="F27" s="222">
        <f>LOOKUP($B27,'PlusGroup'!B2:B1489,'PlusGroup'!H2:H1489)</f>
        <v>3648553.0236</v>
      </c>
      <c r="G27" s="222">
        <f>AE147</f>
        <v>1800919</v>
      </c>
      <c r="H27" s="222">
        <v>120000</v>
      </c>
      <c r="I27" s="222">
        <v>300000</v>
      </c>
      <c r="J27" s="223">
        <f>((D27-F27)*0.4+F27)-SUM(G27:I27)</f>
        <v>2187827.623600001</v>
      </c>
    </row>
    <row r="28" ht="15" customHeight="1">
      <c r="A28" s="232"/>
      <c r="B28" t="s" s="213">
        <f>CONCATENATE(K120," ",L$118)</f>
        <v>304</v>
      </c>
      <c r="C28" s="214">
        <f>LOOKUP($B28,'PlusGroup'!B2:B1489,'PlusGroup'!A2:A1489)</f>
        <v>22</v>
      </c>
      <c r="D28" s="215">
        <f>LOOKUP($B28,'PlusGroup'!B2:B1489,'PlusGroup'!E2:E1489)</f>
        <v>4590676</v>
      </c>
      <c r="E28" s="214">
        <f>LOOKUP($B28,'PlusGroup'!B2:B1489,'PlusGroup'!J2:J1489)</f>
        <v>15</v>
      </c>
      <c r="F28" s="216">
        <f>LOOKUP($B28,'PlusGroup'!B2:B1489,'PlusGroup'!H2:H1489)</f>
        <v>3263622</v>
      </c>
      <c r="G28" s="216">
        <f>AE148</f>
        <v>1921611</v>
      </c>
      <c r="H28" s="216">
        <v>120000</v>
      </c>
      <c r="I28" s="216">
        <v>300000</v>
      </c>
      <c r="J28" s="217">
        <f>((D28-F28)*0.4+F28)-SUM(G28:I28)</f>
        <v>1452832.6</v>
      </c>
    </row>
    <row r="29" ht="15" customHeight="1">
      <c r="A29" s="218"/>
      <c r="B29" t="s" s="219">
        <f>CONCATENATE(K121," ",L$118)</f>
        <v>306</v>
      </c>
      <c r="C29" s="220">
        <f>LOOKUP($B29,'PlusGroup'!B2:B1489,'PlusGroup'!A2:A1489)</f>
        <v>15</v>
      </c>
      <c r="D29" s="221">
        <f>LOOKUP($B29,'PlusGroup'!B2:B1489,'PlusGroup'!E2:E1489)</f>
        <v>6540888</v>
      </c>
      <c r="E29" s="220">
        <f>LOOKUP($B29,'PlusGroup'!B2:B1489,'PlusGroup'!J2:J1489)</f>
        <v>14</v>
      </c>
      <c r="F29" s="222">
        <f>LOOKUP($B29,'PlusGroup'!B2:B1489,'PlusGroup'!H2:H1489)</f>
        <v>2906138</v>
      </c>
      <c r="G29" s="222">
        <f>AE149</f>
        <v>1946611</v>
      </c>
      <c r="H29" s="222">
        <v>120000</v>
      </c>
      <c r="I29" s="222">
        <f t="shared" si="180" ref="I29:I31">350000+380000+275000+225000+1500000</f>
        <v>2730000</v>
      </c>
      <c r="J29" s="223">
        <f>((D29-F29)*0.4+F29)-SUM(G29:I29)</f>
        <v>-436573</v>
      </c>
    </row>
    <row r="30" ht="15" customHeight="1">
      <c r="A30" s="232"/>
      <c r="B30" t="s" s="213">
        <f>CONCATENATE(K122," ",L$118)</f>
        <v>315</v>
      </c>
      <c r="C30" s="214">
        <f>LOOKUP($B30,'PlusGroup'!B2:B1489,'PlusGroup'!A2:A1489)</f>
        <v>22</v>
      </c>
      <c r="D30" s="215">
        <f>LOOKUP($B30,'PlusGroup'!B2:B1489,'PlusGroup'!E2:E1489)</f>
        <v>9304746</v>
      </c>
      <c r="E30" s="214">
        <f>LOOKUP($B30,'PlusGroup'!B2:B1489,'PlusGroup'!J2:J1489)</f>
        <v>16</v>
      </c>
      <c r="F30" s="216">
        <f>LOOKUP($B30,'PlusGroup'!B2:B1489,'PlusGroup'!H2:H1489)</f>
        <v>2993092</v>
      </c>
      <c r="G30" s="216">
        <f>AE150</f>
        <v>1946611</v>
      </c>
      <c r="H30" s="216">
        <v>120000</v>
      </c>
      <c r="I30" s="216">
        <f t="shared" si="180"/>
        <v>2730000</v>
      </c>
      <c r="J30" s="217">
        <f>((D30-F30)*0.4+F30)-SUM(G30:I30)</f>
        <v>721142.5999999996</v>
      </c>
    </row>
    <row r="31" ht="15" customHeight="1">
      <c r="A31" s="218"/>
      <c r="B31" t="s" s="219">
        <f>CONCATENATE(K123," ",L$118)</f>
        <v>324</v>
      </c>
      <c r="C31" s="220">
        <f>LOOKUP($B31,'PlusGroup'!B2:B1489,'PlusGroup'!A2:A1489)</f>
        <v>23</v>
      </c>
      <c r="D31" s="221">
        <f>LOOKUP($B31,'PlusGroup'!B2:B1489,'PlusGroup'!E2:E1489)</f>
        <v>11737808</v>
      </c>
      <c r="E31" s="220">
        <f>LOOKUP($B31,'PlusGroup'!B2:B1489,'PlusGroup'!J2:J1489)</f>
        <v>16</v>
      </c>
      <c r="F31" s="222">
        <f>LOOKUP($B31,'PlusGroup'!B2:B1489,'PlusGroup'!H2:H1489)</f>
        <v>3816321</v>
      </c>
      <c r="G31" s="222">
        <f>AE151</f>
        <v>1946611</v>
      </c>
      <c r="H31" s="222">
        <v>120000</v>
      </c>
      <c r="I31" s="222">
        <f t="shared" si="180"/>
        <v>2730000</v>
      </c>
      <c r="J31" s="223">
        <f>((D31-F31)*0.4+F31)-SUM(G31:I31)</f>
        <v>2188304.800000001</v>
      </c>
    </row>
    <row r="32" ht="15.5" customHeight="1">
      <c r="A32" s="224"/>
      <c r="B32" t="s" s="213">
        <f>CONCATENATE(K124," ",L$118)</f>
        <v>326</v>
      </c>
      <c r="C32" s="214">
        <f>LOOKUP($B32,'PlusGroup'!B2:B1489,'PlusGroup'!A2:A1489)</f>
        <v>1</v>
      </c>
      <c r="D32" s="215">
        <f>LOOKUP($B32,'PlusGroup'!B2:B1489,'PlusGroup'!E2:E1489)</f>
        <v>2886000</v>
      </c>
      <c r="E32" s="214">
        <f>LOOKUP($B32,'PlusGroup'!B2:B1489,'PlusGroup'!J2:J1489)</f>
        <v>0</v>
      </c>
      <c r="F32" s="216">
        <f>LOOKUP($B32,'PlusGroup'!B2:B1489,'PlusGroup'!H2:H1489)</f>
        <v>0</v>
      </c>
      <c r="G32" s="216">
        <f>AE152</f>
        <v>1946611</v>
      </c>
      <c r="H32" s="216">
        <v>120000</v>
      </c>
      <c r="I32" s="216">
        <f t="shared" si="204" ref="I32:I67">350000+380000+275000+225000</f>
        <v>1230000</v>
      </c>
      <c r="J32" s="217">
        <f>((D32-F32)*0.4+F32)-SUM(G32:I32)</f>
        <v>-2142211</v>
      </c>
    </row>
    <row r="33" ht="16" customHeight="1">
      <c r="A33" s="225"/>
      <c r="B33" s="226"/>
      <c r="C33" s="227">
        <f>SUM(C21:C32)</f>
        <v>237</v>
      </c>
      <c r="D33" s="228">
        <f>SUM(D21:D32)</f>
        <v>80137461.98799999</v>
      </c>
      <c r="E33" s="227">
        <f>SUM(E21:E32)</f>
        <v>166</v>
      </c>
      <c r="F33" s="229">
        <f>SUM(F21:F32)</f>
        <v>33621410.70110001</v>
      </c>
      <c r="G33" s="229">
        <f>SUM(G21:G32)</f>
        <v>23387662</v>
      </c>
      <c r="H33" s="229">
        <f>SUM(H21:H32)</f>
        <v>1485000</v>
      </c>
      <c r="I33" s="229">
        <f>SUM(I21:I32)</f>
        <v>11820000</v>
      </c>
      <c r="J33" s="230">
        <f>SUM(J21:J32)</f>
        <v>15535169.21586</v>
      </c>
    </row>
    <row r="34" ht="15.5" customHeight="1">
      <c r="A34" s="231">
        <v>2013</v>
      </c>
      <c r="B34" t="s" s="213">
        <f>CONCATENATE(K113," ",L$119)</f>
        <v>345</v>
      </c>
      <c r="C34" s="214">
        <f>LOOKUP($B34,'PlusGroup'!B2:B1489,'PlusGroup'!A2:A1489)</f>
        <v>50</v>
      </c>
      <c r="D34" s="215">
        <f>LOOKUP($B34,'PlusGroup'!B2:B1489,'PlusGroup'!E2:E1489)</f>
        <v>13267075</v>
      </c>
      <c r="E34" s="214">
        <f>LOOKUP($B34,'PlusGroup'!B2:B1489,'PlusGroup'!J2:J1489)</f>
        <v>32</v>
      </c>
      <c r="F34" s="216">
        <f>LOOKUP($B34,'PlusGroup'!B2:B1489,'PlusGroup'!H2:H1489)</f>
        <v>5885961</v>
      </c>
      <c r="G34" s="216">
        <f>AE154</f>
        <v>2046611</v>
      </c>
      <c r="H34" s="216">
        <v>120000</v>
      </c>
      <c r="I34" s="216">
        <f t="shared" si="204"/>
        <v>1230000</v>
      </c>
      <c r="J34" s="217">
        <f>((D34-F34)*0.4+F34)-SUM(G34:I34)</f>
        <v>5441795.6</v>
      </c>
    </row>
    <row r="35" ht="15" customHeight="1">
      <c r="A35" s="218"/>
      <c r="B35" t="s" s="219">
        <f>CONCATENATE(K114," ",L$119)</f>
        <v>351</v>
      </c>
      <c r="C35" s="220">
        <f>LOOKUP($B35,'PlusGroup'!B2:B1489,'PlusGroup'!A2:A1489)</f>
        <v>16</v>
      </c>
      <c r="D35" s="221">
        <f>LOOKUP($B35,'PlusGroup'!B2:B1489,'PlusGroup'!E2:E1489)</f>
        <v>3525847</v>
      </c>
      <c r="E35" s="220">
        <f>LOOKUP($B35,'PlusGroup'!B2:B1489,'PlusGroup'!J2:J1489)</f>
        <v>10</v>
      </c>
      <c r="F35" s="222">
        <f>LOOKUP($B35,'PlusGroup'!B2:B1489,'PlusGroup'!H2:H1489)</f>
        <v>1826990</v>
      </c>
      <c r="G35" s="222">
        <f>AE155</f>
        <v>2046611</v>
      </c>
      <c r="H35" s="222">
        <v>120000</v>
      </c>
      <c r="I35" s="222">
        <f t="shared" si="204"/>
        <v>1230000</v>
      </c>
      <c r="J35" s="223">
        <f>((D35-F35)*0.4+F35)-SUM(G35:I35)</f>
        <v>-890078.2000000002</v>
      </c>
    </row>
    <row r="36" ht="15" customHeight="1">
      <c r="A36" s="232"/>
      <c r="B36" t="s" s="213">
        <f>CONCATENATE(K115," ",L$119)</f>
        <v>359</v>
      </c>
      <c r="C36" s="214">
        <f>LOOKUP($B36,'PlusGroup'!B2:B1489,'PlusGroup'!A2:A1489)</f>
        <v>28</v>
      </c>
      <c r="D36" s="215">
        <f>LOOKUP($B36,'PlusGroup'!B2:B1489,'PlusGroup'!E2:E1489)</f>
        <v>10180602</v>
      </c>
      <c r="E36" s="214">
        <f>LOOKUP($B36,'PlusGroup'!B2:B1489,'PlusGroup'!J2:J1489)</f>
        <v>22</v>
      </c>
      <c r="F36" s="216">
        <f>LOOKUP($B36,'PlusGroup'!B2:B1489,'PlusGroup'!H2:H1489)</f>
        <v>5517519</v>
      </c>
      <c r="G36" s="216">
        <f>AE156</f>
        <v>2091611</v>
      </c>
      <c r="H36" s="216">
        <v>120000</v>
      </c>
      <c r="I36" s="216">
        <f t="shared" si="204"/>
        <v>1230000</v>
      </c>
      <c r="J36" s="217">
        <f>((D36-F36)*0.4+F36)-SUM(G36:I36)</f>
        <v>3941141.2</v>
      </c>
    </row>
    <row r="37" ht="15" customHeight="1">
      <c r="A37" s="218"/>
      <c r="B37" t="s" s="219">
        <f>CONCATENATE(K116," ",L$119)</f>
        <v>364</v>
      </c>
      <c r="C37" s="220">
        <f>LOOKUP($B37,'PlusGroup'!B2:B1489,'PlusGroup'!A2:A1489)</f>
        <v>13</v>
      </c>
      <c r="D37" s="221">
        <f>LOOKUP($B37,'PlusGroup'!B2:B1489,'PlusGroup'!E2:E1489)</f>
        <v>3080095</v>
      </c>
      <c r="E37" s="220">
        <f>LOOKUP($B37,'PlusGroup'!B2:B1489,'PlusGroup'!J2:J1489)</f>
        <v>10</v>
      </c>
      <c r="F37" s="222">
        <f>LOOKUP($B37,'PlusGroup'!B2:B1489,'PlusGroup'!H2:H1489)</f>
        <v>2240095</v>
      </c>
      <c r="G37" s="222">
        <f>AE157</f>
        <v>2091611</v>
      </c>
      <c r="H37" s="222">
        <v>120000</v>
      </c>
      <c r="I37" s="222">
        <f t="shared" si="204"/>
        <v>1230000</v>
      </c>
      <c r="J37" s="223">
        <f>((D37-F37)*0.4+F37)-SUM(G37:I37)</f>
        <v>-865516</v>
      </c>
    </row>
    <row r="38" ht="15" customHeight="1">
      <c r="A38" s="232"/>
      <c r="B38" t="s" s="213">
        <f>CONCATENATE(K117," ",L$119)</f>
        <v>369</v>
      </c>
      <c r="C38" s="214">
        <f>LOOKUP($B38,'PlusGroup'!B2:B1489,'PlusGroup'!A2:A1489)</f>
        <v>25</v>
      </c>
      <c r="D38" s="215">
        <f>LOOKUP($B38,'PlusGroup'!B2:B1489,'PlusGroup'!E2:E1489)</f>
        <v>4880175</v>
      </c>
      <c r="E38" s="214">
        <f>LOOKUP($B38,'PlusGroup'!B2:B1489,'PlusGroup'!J2:J1489)</f>
        <v>21</v>
      </c>
      <c r="F38" s="216">
        <f>LOOKUP($B38,'PlusGroup'!B2:B1489,'PlusGroup'!H2:H1489)</f>
        <v>4007655</v>
      </c>
      <c r="G38" s="216">
        <f>AE158</f>
        <v>2091611</v>
      </c>
      <c r="H38" s="216">
        <v>120000</v>
      </c>
      <c r="I38" s="216">
        <f t="shared" si="204"/>
        <v>1230000</v>
      </c>
      <c r="J38" s="217">
        <f>((D38-F38)*0.4+F38)-SUM(G38:I38)</f>
        <v>915052</v>
      </c>
    </row>
    <row r="39" ht="15" customHeight="1">
      <c r="A39" s="218"/>
      <c r="B39" t="s" s="219">
        <f>CONCATENATE(K118," ",L$119)</f>
        <v>380</v>
      </c>
      <c r="C39" s="220">
        <f>LOOKUP($B39,'PlusGroup'!B2:B1489,'PlusGroup'!A2:A1489)</f>
        <v>27</v>
      </c>
      <c r="D39" s="221">
        <f>LOOKUP($B39,'PlusGroup'!B2:B1489,'PlusGroup'!E2:E1489)</f>
        <v>10285095</v>
      </c>
      <c r="E39" s="220">
        <f>LOOKUP($B39,'PlusGroup'!B2:B1489,'PlusGroup'!J2:J1489)</f>
        <v>16</v>
      </c>
      <c r="F39" s="222">
        <f>LOOKUP($B39,'PlusGroup'!B2:B1489,'PlusGroup'!H2:H1489)</f>
        <v>2086665</v>
      </c>
      <c r="G39" s="222">
        <f>AE159</f>
        <v>2091611</v>
      </c>
      <c r="H39" s="222">
        <v>120000</v>
      </c>
      <c r="I39" s="222">
        <f t="shared" si="204"/>
        <v>1230000</v>
      </c>
      <c r="J39" s="223">
        <f>((D39-F39)*0.4+F39)-SUM(G39:I39)</f>
        <v>1924426</v>
      </c>
    </row>
    <row r="40" ht="15" customHeight="1">
      <c r="A40" s="232"/>
      <c r="B40" t="s" s="213">
        <f>CONCATENATE(K119," ",L$119)</f>
        <v>386</v>
      </c>
      <c r="C40" s="214">
        <f>LOOKUP($B40,'PlusGroup'!B2:B1489,'PlusGroup'!A2:A1489)</f>
        <v>19</v>
      </c>
      <c r="D40" s="215">
        <f>LOOKUP($B40,'PlusGroup'!B2:B1489,'PlusGroup'!E2:E1489)</f>
        <v>3672155</v>
      </c>
      <c r="E40" s="214">
        <f>LOOKUP($B40,'PlusGroup'!B2:B1489,'PlusGroup'!J2:J1489)</f>
        <v>17</v>
      </c>
      <c r="F40" s="216">
        <f>LOOKUP($B40,'PlusGroup'!B2:B1489,'PlusGroup'!H2:H1489)</f>
        <v>2919155</v>
      </c>
      <c r="G40" s="216">
        <f>AE160</f>
        <v>2091611</v>
      </c>
      <c r="H40" s="216">
        <v>120000</v>
      </c>
      <c r="I40" s="216">
        <f t="shared" si="204"/>
        <v>1230000</v>
      </c>
      <c r="J40" s="217">
        <f>((D40-F40)*0.4+F40)-SUM(G40:I40)</f>
        <v>-221256</v>
      </c>
    </row>
    <row r="41" ht="15" customHeight="1">
      <c r="A41" s="218"/>
      <c r="B41" t="s" s="219">
        <f>CONCATENATE(K120," ",L$119)</f>
        <v>406</v>
      </c>
      <c r="C41" s="220">
        <f>LOOKUP($B41,'PlusGroup'!B2:B1489,'PlusGroup'!A2:A1489)</f>
        <v>37</v>
      </c>
      <c r="D41" s="221">
        <f>LOOKUP($B41,'PlusGroup'!B2:B1489,'PlusGroup'!E2:E1489)</f>
        <v>12220222</v>
      </c>
      <c r="E41" s="220">
        <f>LOOKUP($B41,'PlusGroup'!B2:B1489,'PlusGroup'!J2:J1489)</f>
        <v>34</v>
      </c>
      <c r="F41" s="222">
        <f>LOOKUP($B41,'PlusGroup'!B2:B1489,'PlusGroup'!H2:H1489)</f>
        <v>11407222</v>
      </c>
      <c r="G41" s="222">
        <f>AE161</f>
        <v>2091611</v>
      </c>
      <c r="H41" s="222">
        <v>120000</v>
      </c>
      <c r="I41" s="222">
        <f t="shared" si="204"/>
        <v>1230000</v>
      </c>
      <c r="J41" s="223">
        <f>((D41-F41)*0.4+F41)-SUM(G41:I41)</f>
        <v>8290811</v>
      </c>
    </row>
    <row r="42" ht="15" customHeight="1">
      <c r="A42" s="232"/>
      <c r="B42" t="s" s="213">
        <f>CONCATENATE(K121," ",L$119)</f>
        <v>410</v>
      </c>
      <c r="C42" s="214">
        <f>LOOKUP($B42,'PlusGroup'!B2:B1489,'PlusGroup'!A2:A1489)</f>
        <v>21</v>
      </c>
      <c r="D42" s="215">
        <f>LOOKUP($B42,'PlusGroup'!B2:B1489,'PlusGroup'!E2:E1489)</f>
        <v>3854989</v>
      </c>
      <c r="E42" s="214">
        <f>LOOKUP($B42,'PlusGroup'!B2:B1489,'PlusGroup'!J2:J1489)</f>
        <v>17</v>
      </c>
      <c r="F42" s="216">
        <f>LOOKUP($B42,'PlusGroup'!B2:B1489,'PlusGroup'!H2:H1489)</f>
        <v>2677502</v>
      </c>
      <c r="G42" s="216">
        <f>AE162</f>
        <v>2091611</v>
      </c>
      <c r="H42" s="216">
        <v>120000</v>
      </c>
      <c r="I42" s="216">
        <f t="shared" si="204"/>
        <v>1230000</v>
      </c>
      <c r="J42" s="217">
        <f>((D42-F42)*0.4+F42)-SUM(G42:I42)</f>
        <v>-293114.2000000002</v>
      </c>
    </row>
    <row r="43" ht="15" customHeight="1">
      <c r="A43" s="218"/>
      <c r="B43" t="s" s="219">
        <f>CONCATENATE(K122," ",L$119)</f>
        <v>416</v>
      </c>
      <c r="C43" s="220">
        <f>LOOKUP($B43,'PlusGroup'!B2:B1489,'PlusGroup'!A2:A1489)</f>
        <v>22</v>
      </c>
      <c r="D43" s="221">
        <f>LOOKUP($B43,'PlusGroup'!B2:B1489,'PlusGroup'!E2:E1489)</f>
        <v>4629667</v>
      </c>
      <c r="E43" s="220">
        <f>LOOKUP($B43,'PlusGroup'!B2:B1489,'PlusGroup'!J2:J1489)</f>
        <v>17</v>
      </c>
      <c r="F43" s="222">
        <f>LOOKUP($B43,'PlusGroup'!B2:B1489,'PlusGroup'!H2:H1489)</f>
        <v>3841028</v>
      </c>
      <c r="G43" s="222">
        <f>AE163</f>
        <v>2091611</v>
      </c>
      <c r="H43" s="222">
        <v>120000</v>
      </c>
      <c r="I43" s="222">
        <f t="shared" si="204"/>
        <v>1230000</v>
      </c>
      <c r="J43" s="223">
        <f>((D43-F43)*0.4+F43)-SUM(G43:I43)</f>
        <v>714872.6000000001</v>
      </c>
    </row>
    <row r="44" ht="15" customHeight="1">
      <c r="A44" s="232"/>
      <c r="B44" t="s" s="213">
        <f>CONCATENATE(K123," ",L$119)</f>
        <v>425</v>
      </c>
      <c r="C44" s="214">
        <f>LOOKUP($B44,'PlusGroup'!B2:B1489,'PlusGroup'!A2:A1489)</f>
        <v>29</v>
      </c>
      <c r="D44" s="215">
        <f>LOOKUP($B44,'PlusGroup'!B2:B1489,'PlusGroup'!E2:E1489)</f>
        <v>6942001</v>
      </c>
      <c r="E44" s="214">
        <f>LOOKUP($B44,'PlusGroup'!B2:B1489,'PlusGroup'!J2:J1489)</f>
        <v>21</v>
      </c>
      <c r="F44" s="216">
        <f>LOOKUP($B44,'PlusGroup'!B2:B1489,'PlusGroup'!H2:H1489)</f>
        <v>4147923</v>
      </c>
      <c r="G44" s="216">
        <f>AE164</f>
        <v>1965194</v>
      </c>
      <c r="H44" s="216">
        <v>120000</v>
      </c>
      <c r="I44" s="216">
        <f t="shared" si="204"/>
        <v>1230000</v>
      </c>
      <c r="J44" s="217">
        <f>((D44-F44)*0.4+F44)-SUM(G44:I44)</f>
        <v>1950360.2</v>
      </c>
    </row>
    <row r="45" ht="15.5" customHeight="1">
      <c r="A45" s="233"/>
      <c r="B45" t="s" s="219">
        <f>CONCATENATE(K124," ",L$119)</f>
        <v>444</v>
      </c>
      <c r="C45" s="220">
        <f>LOOKUP($B45,'PlusGroup'!B2:B1489,'PlusGroup'!A2:A1489)</f>
        <v>31</v>
      </c>
      <c r="D45" s="221">
        <f>LOOKUP($B45,'PlusGroup'!B2:B1489,'PlusGroup'!E2:E1489)</f>
        <v>4935035</v>
      </c>
      <c r="E45" s="220">
        <f>LOOKUP($B45,'PlusGroup'!B2:B1489,'PlusGroup'!J2:J1489)</f>
        <v>30</v>
      </c>
      <c r="F45" s="222">
        <f>LOOKUP($B45,'PlusGroup'!B2:B1489,'PlusGroup'!H2:H1489)</f>
        <v>3604577</v>
      </c>
      <c r="G45" s="222">
        <f>AE165</f>
        <v>2015195</v>
      </c>
      <c r="H45" s="222">
        <v>120000</v>
      </c>
      <c r="I45" s="222">
        <f t="shared" si="204"/>
        <v>1230000</v>
      </c>
      <c r="J45" s="223">
        <f>((D45-F45)*0.4+F45)-SUM(G45:I45)</f>
        <v>771565.2000000002</v>
      </c>
    </row>
    <row r="46" ht="16" customHeight="1">
      <c r="A46" s="225"/>
      <c r="B46" s="226"/>
      <c r="C46" s="227">
        <f>SUM(C34:C45)</f>
        <v>318</v>
      </c>
      <c r="D46" s="228">
        <f>SUM(D34:D45)</f>
        <v>81472958</v>
      </c>
      <c r="E46" s="227">
        <f>SUM(E34:E45)</f>
        <v>247</v>
      </c>
      <c r="F46" s="229">
        <f>SUM(F34:F45)</f>
        <v>50162292</v>
      </c>
      <c r="G46" s="229">
        <f>SUM(G34:G45)</f>
        <v>24806499</v>
      </c>
      <c r="H46" s="229">
        <f>SUM(H34:H45)</f>
        <v>1440000</v>
      </c>
      <c r="I46" s="229">
        <f>SUM(I34:I45)</f>
        <v>14760000</v>
      </c>
      <c r="J46" s="230">
        <f>SUM(J34:J45)</f>
        <v>21680059.4</v>
      </c>
    </row>
    <row r="47" ht="15.5" customHeight="1">
      <c r="A47" s="212">
        <v>2014</v>
      </c>
      <c r="B47" t="s" s="219">
        <f>CONCATENATE(K113," ",L$120)</f>
        <v>460</v>
      </c>
      <c r="C47" s="220">
        <f>LOOKUP($B47,'PlusGroup'!B2:B1489,'PlusGroup'!A2:A1489)</f>
        <v>33</v>
      </c>
      <c r="D47" s="221">
        <f>LOOKUP($B47,'PlusGroup'!B2:B1489,'PlusGroup'!E2:E1489)</f>
        <v>12098207</v>
      </c>
      <c r="E47" s="220">
        <f>LOOKUP($B47,'PlusGroup'!B2:B1489,'PlusGroup'!J2:J1489)</f>
        <v>19</v>
      </c>
      <c r="F47" s="222">
        <f>LOOKUP($B47,'PlusGroup'!B2:B1489,'PlusGroup'!H2:H1489)</f>
        <v>3910747</v>
      </c>
      <c r="G47" s="222">
        <f>AE167</f>
        <v>1756343</v>
      </c>
      <c r="H47" s="222">
        <v>85000</v>
      </c>
      <c r="I47" s="222">
        <f t="shared" si="204"/>
        <v>1230000</v>
      </c>
      <c r="J47" s="223">
        <f>((D47-F47)*0.4+F47)-SUM(G47:I47)</f>
        <v>4114388</v>
      </c>
    </row>
    <row r="48" ht="15" customHeight="1">
      <c r="A48" s="232"/>
      <c r="B48" t="s" s="213">
        <f>CONCATENATE(K114," ",L$120)</f>
        <v>470</v>
      </c>
      <c r="C48" s="214">
        <f>LOOKUP($B48,'PlusGroup'!B2:B1489,'PlusGroup'!A2:A1489)</f>
        <v>22</v>
      </c>
      <c r="D48" s="215">
        <f>LOOKUP($B48,'PlusGroup'!B2:B1489,'PlusGroup'!E2:E1489)</f>
        <v>4736644</v>
      </c>
      <c r="E48" s="214">
        <f>LOOKUP($B48,'PlusGroup'!B2:B1489,'PlusGroup'!J2:J1489)</f>
        <v>20</v>
      </c>
      <c r="F48" s="216">
        <f>LOOKUP($B48,'PlusGroup'!B2:B1489,'PlusGroup'!H2:H1489)</f>
        <v>4005616</v>
      </c>
      <c r="G48" s="216">
        <f>AE168</f>
        <v>1717356</v>
      </c>
      <c r="H48" s="216">
        <v>110000</v>
      </c>
      <c r="I48" s="216">
        <f t="shared" si="204"/>
        <v>1230000</v>
      </c>
      <c r="J48" s="217">
        <f>((D48-F48)*0.4+F48)-SUM(G48:I48)</f>
        <v>1240671.2</v>
      </c>
    </row>
    <row r="49" ht="15" customHeight="1">
      <c r="A49" s="218"/>
      <c r="B49" t="s" s="219">
        <f>CONCATENATE(K115," ",L$120)</f>
        <v>471</v>
      </c>
      <c r="C49" s="220">
        <f>LOOKUP($B49,'PlusGroup'!B2:B1489,'PlusGroup'!A2:A1489)</f>
        <v>0</v>
      </c>
      <c r="D49" s="221">
        <f>LOOKUP($B49,'PlusGroup'!B2:B1489,'PlusGroup'!E2:E1489)</f>
        <v>0</v>
      </c>
      <c r="E49" s="220">
        <f>LOOKUP($B49,'PlusGroup'!B2:B1489,'PlusGroup'!J2:J1489)</f>
        <v>0</v>
      </c>
      <c r="F49" s="222">
        <f>LOOKUP($B49,'PlusGroup'!B2:B1489,'PlusGroup'!H2:H1489)</f>
        <v>0</v>
      </c>
      <c r="G49" s="222">
        <f>AE169</f>
        <v>1715185</v>
      </c>
      <c r="H49" s="222">
        <v>110000</v>
      </c>
      <c r="I49" s="222">
        <f t="shared" si="204"/>
        <v>1230000</v>
      </c>
      <c r="J49" s="223">
        <f>((D49-F49)*0.4+F49)-SUM(G49:I49)</f>
        <v>-3055185</v>
      </c>
    </row>
    <row r="50" ht="15" customHeight="1">
      <c r="A50" s="232"/>
      <c r="B50" t="s" s="213">
        <f>CONCATENATE(K116," ",L$120)</f>
        <v>472</v>
      </c>
      <c r="C50" s="214">
        <f>LOOKUP($B50,'PlusGroup'!B2:B1489,'PlusGroup'!A2:A1489)</f>
        <v>0</v>
      </c>
      <c r="D50" s="215">
        <f>LOOKUP($B50,'PlusGroup'!B2:B1489,'PlusGroup'!E2:E1489)</f>
        <v>0</v>
      </c>
      <c r="E50" s="214">
        <f>LOOKUP($B50,'PlusGroup'!B2:B1489,'PlusGroup'!J2:J1489)</f>
        <v>0</v>
      </c>
      <c r="F50" s="216">
        <f>LOOKUP($B50,'PlusGroup'!B2:B1489,'PlusGroup'!H2:H1489)</f>
        <v>0</v>
      </c>
      <c r="G50" s="216">
        <f>AE170</f>
        <v>2024118</v>
      </c>
      <c r="H50" s="216">
        <v>125000</v>
      </c>
      <c r="I50" s="216">
        <f t="shared" si="204"/>
        <v>1230000</v>
      </c>
      <c r="J50" s="217">
        <f>((D50-F50)*0.4+F50)-SUM(G50:I50)</f>
        <v>-3379118</v>
      </c>
    </row>
    <row r="51" ht="15" customHeight="1">
      <c r="A51" s="218"/>
      <c r="B51" t="s" s="219">
        <f>CONCATENATE(K117," ",L$120)</f>
        <v>473</v>
      </c>
      <c r="C51" s="220">
        <f>LOOKUP($B51,'PlusGroup'!B2:B1489,'PlusGroup'!A2:A1489)</f>
        <v>0</v>
      </c>
      <c r="D51" s="221">
        <f>LOOKUP($B51,'PlusGroup'!B2:B1489,'PlusGroup'!E2:E1489)</f>
        <v>0</v>
      </c>
      <c r="E51" s="220">
        <f>LOOKUP($B51,'PlusGroup'!B2:B1489,'PlusGroup'!J2:J1489)</f>
        <v>0</v>
      </c>
      <c r="F51" s="222">
        <f>LOOKUP($B51,'PlusGroup'!B2:B1489,'PlusGroup'!H2:H1489)</f>
        <v>0</v>
      </c>
      <c r="G51" s="222">
        <f>AE171</f>
        <v>2100579</v>
      </c>
      <c r="H51" s="222">
        <v>125000</v>
      </c>
      <c r="I51" s="222">
        <f t="shared" si="204"/>
        <v>1230000</v>
      </c>
      <c r="J51" s="223">
        <f>((D51-F51)*0.4+F51)-SUM(G51:I51)</f>
        <v>-3455579</v>
      </c>
    </row>
    <row r="52" ht="15" customHeight="1">
      <c r="A52" s="232"/>
      <c r="B52" t="s" s="213">
        <f>CONCATENATE(K118," ",L$120)</f>
        <v>488</v>
      </c>
      <c r="C52" s="214">
        <f>LOOKUP($B52,'PlusGroup'!B2:B1489,'PlusGroup'!A2:A1489)</f>
        <v>10</v>
      </c>
      <c r="D52" s="215">
        <f>LOOKUP($B52,'PlusGroup'!B2:B1489,'PlusGroup'!E2:E1489)</f>
        <v>9712986.172</v>
      </c>
      <c r="E52" s="214">
        <f>LOOKUP($B52,'PlusGroup'!B2:B1489,'PlusGroup'!J2:J1489)</f>
        <v>5</v>
      </c>
      <c r="F52" s="216">
        <f>LOOKUP($B52,'PlusGroup'!B2:B1489,'PlusGroup'!H2:H1489)</f>
        <v>5169916</v>
      </c>
      <c r="G52" s="216">
        <f>AE172</f>
        <v>2043896</v>
      </c>
      <c r="H52" s="216">
        <v>125000</v>
      </c>
      <c r="I52" s="216">
        <f t="shared" si="204"/>
        <v>1230000</v>
      </c>
      <c r="J52" s="217">
        <f>((D52-F52)*0.4+F52)-SUM(G52:I52)</f>
        <v>3588248.0688</v>
      </c>
    </row>
    <row r="53" ht="15" customHeight="1">
      <c r="A53" s="218"/>
      <c r="B53" t="s" s="219">
        <f>CONCATENATE(K119," ",L$120)</f>
        <v>489</v>
      </c>
      <c r="C53" s="220">
        <f>LOOKUP($B53,'PlusGroup'!B2:B1489,'PlusGroup'!A2:A1489)</f>
        <v>0</v>
      </c>
      <c r="D53" s="221">
        <f>LOOKUP($B53,'PlusGroup'!B2:B1489,'PlusGroup'!E2:E1489)</f>
        <v>0</v>
      </c>
      <c r="E53" s="220">
        <f>LOOKUP($B53,'PlusGroup'!B2:B1489,'PlusGroup'!J2:J1489)</f>
        <v>0</v>
      </c>
      <c r="F53" s="222">
        <f>LOOKUP($B53,'PlusGroup'!B2:B1489,'PlusGroup'!H2:H1489)</f>
        <v>0</v>
      </c>
      <c r="G53" s="222">
        <f>AE173</f>
        <v>2051862</v>
      </c>
      <c r="H53" s="222">
        <v>125000</v>
      </c>
      <c r="I53" s="222">
        <f t="shared" si="204"/>
        <v>1230000</v>
      </c>
      <c r="J53" s="223">
        <f>((D53-F53)*0.4+F53)-SUM(G53:I53)</f>
        <v>-3406862</v>
      </c>
    </row>
    <row r="54" ht="15" customHeight="1">
      <c r="A54" s="232"/>
      <c r="B54" t="s" s="213">
        <f>CONCATENATE(K120," ",L$120)</f>
        <v>545</v>
      </c>
      <c r="C54" s="214">
        <f>LOOKUP($B54,'PlusGroup'!B2:B1489,'PlusGroup'!A2:A1489)</f>
        <v>40</v>
      </c>
      <c r="D54" s="215">
        <f>LOOKUP($B54,'PlusGroup'!B2:B1489,'PlusGroup'!E2:E1489)</f>
        <v>24663071.0181</v>
      </c>
      <c r="E54" s="214">
        <f>LOOKUP($B54,'PlusGroup'!B2:B1489,'PlusGroup'!J2:J1489)</f>
        <v>35</v>
      </c>
      <c r="F54" s="216">
        <f>LOOKUP($B54,'PlusGroup'!B2:B1489,'PlusGroup'!H2:H1489)</f>
        <v>23138816.5181</v>
      </c>
      <c r="G54" s="216">
        <f>AE174</f>
        <v>2040294</v>
      </c>
      <c r="H54" s="216">
        <v>125000</v>
      </c>
      <c r="I54" s="216">
        <f t="shared" si="204"/>
        <v>1230000</v>
      </c>
      <c r="J54" s="217">
        <f>((D54-F54)*0.4+F54)-SUM(G54:I54)</f>
        <v>20353224.3181</v>
      </c>
    </row>
    <row r="55" ht="15" customHeight="1">
      <c r="A55" s="218"/>
      <c r="B55" t="s" s="219">
        <f>CONCATENATE(K121," ",L$120)</f>
        <v>754</v>
      </c>
      <c r="C55" s="220">
        <f>LOOKUP($B55,'PlusGroup'!B2:B1489,'PlusGroup'!A2:A1489)</f>
        <v>21</v>
      </c>
      <c r="D55" s="221">
        <f>LOOKUP($B55,'PlusGroup'!B2:B1489,'PlusGroup'!E2:E1489)</f>
        <v>3854989</v>
      </c>
      <c r="E55" s="220">
        <f>LOOKUP($B55,'PlusGroup'!B2:B1489,'PlusGroup'!J2:J1489)</f>
        <v>17</v>
      </c>
      <c r="F55" s="222">
        <f>LOOKUP($B55,'PlusGroup'!B2:B1489,'PlusGroup'!H2:H1489)</f>
        <v>2677502</v>
      </c>
      <c r="G55" s="222">
        <f>AE175</f>
        <v>2071141</v>
      </c>
      <c r="H55" s="222">
        <v>125000</v>
      </c>
      <c r="I55" s="222">
        <f t="shared" si="204"/>
        <v>1230000</v>
      </c>
      <c r="J55" s="223">
        <f>((D55-F55)*0.4+F55)-SUM(G55:I55)</f>
        <v>-277644.2000000002</v>
      </c>
    </row>
    <row r="56" ht="15" customHeight="1">
      <c r="A56" s="232"/>
      <c r="B56" t="s" s="213">
        <f>CONCATENATE(K122," ",L$120)</f>
        <v>756</v>
      </c>
      <c r="C56" s="214">
        <f>LOOKUP($B56,'PlusGroup'!B2:B1489,'PlusGroup'!A2:A1489)</f>
        <v>22</v>
      </c>
      <c r="D56" s="215">
        <f>LOOKUP($B56,'PlusGroup'!B2:B1489,'PlusGroup'!E2:E1489)</f>
        <v>4629667</v>
      </c>
      <c r="E56" s="214">
        <f>LOOKUP($B56,'PlusGroup'!B2:B1489,'PlusGroup'!J2:J1489)</f>
        <v>17</v>
      </c>
      <c r="F56" s="216">
        <f>LOOKUP($B56,'PlusGroup'!B2:B1489,'PlusGroup'!H2:H1489)</f>
        <v>3841028</v>
      </c>
      <c r="G56" s="216">
        <f>AE176</f>
        <v>2098488</v>
      </c>
      <c r="H56" s="216">
        <v>125000</v>
      </c>
      <c r="I56" s="216">
        <f t="shared" si="204"/>
        <v>1230000</v>
      </c>
      <c r="J56" s="217">
        <f>((D56-F56)*0.4+F56)-SUM(G56:I56)</f>
        <v>702995.6000000001</v>
      </c>
    </row>
    <row r="57" ht="15" customHeight="1">
      <c r="A57" s="218"/>
      <c r="B57" t="s" s="219">
        <f>CONCATENATE(K123," ",L$120)</f>
        <v>595</v>
      </c>
      <c r="C57" s="220">
        <f>LOOKUP($B57,'PlusGroup'!B2:B1489,'PlusGroup'!A2:A1489)</f>
        <v>46</v>
      </c>
      <c r="D57" s="221">
        <f>LOOKUP($B57,'PlusGroup'!B2:B1489,'PlusGroup'!E2:E1489)</f>
        <v>17690282.7613</v>
      </c>
      <c r="E57" s="220">
        <f>LOOKUP($B57,'PlusGroup'!B2:B1489,'PlusGroup'!J2:J1489)</f>
        <v>28</v>
      </c>
      <c r="F57" s="222">
        <f>LOOKUP($B57,'PlusGroup'!B2:B1489,'PlusGroup'!H2:H1489)</f>
        <v>10856108.7613</v>
      </c>
      <c r="G57" s="222">
        <f>AE177</f>
        <v>2040294</v>
      </c>
      <c r="H57" s="222">
        <v>125000</v>
      </c>
      <c r="I57" s="222">
        <f t="shared" si="204"/>
        <v>1230000</v>
      </c>
      <c r="J57" s="223">
        <f>((D57-F57)*0.4+F57)-SUM(G57:I57)</f>
        <v>10194484.3613</v>
      </c>
    </row>
    <row r="58" ht="15.5" customHeight="1">
      <c r="A58" s="224"/>
      <c r="B58" t="s" s="213">
        <f>CONCATENATE(K124," ",L$120)</f>
        <v>614</v>
      </c>
      <c r="C58" s="214">
        <f>LOOKUP($B58,'PlusGroup'!B2:B1489,'PlusGroup'!A2:A1489)</f>
        <v>29</v>
      </c>
      <c r="D58" s="215">
        <f>LOOKUP($B58,'PlusGroup'!B2:B1489,'PlusGroup'!E2:E1489)</f>
        <v>13580197</v>
      </c>
      <c r="E58" s="214">
        <f>LOOKUP($B58,'PlusGroup'!B2:B1489,'PlusGroup'!J2:J1489)</f>
        <v>26</v>
      </c>
      <c r="F58" s="216">
        <f>LOOKUP($B58,'PlusGroup'!B2:B1489,'PlusGroup'!H2:H1489)</f>
        <v>8798195</v>
      </c>
      <c r="G58" s="216">
        <f>AE178</f>
        <v>2072370</v>
      </c>
      <c r="H58" s="216">
        <v>125000</v>
      </c>
      <c r="I58" s="216">
        <f t="shared" si="204"/>
        <v>1230000</v>
      </c>
      <c r="J58" s="217">
        <f>((D58-F58)*0.4+F58)-SUM(G58:I58)</f>
        <v>7283625.800000001</v>
      </c>
    </row>
    <row r="59" ht="16" customHeight="1">
      <c r="A59" s="225"/>
      <c r="B59" s="226"/>
      <c r="C59" s="227">
        <f>SUM(C47:C58)</f>
        <v>223</v>
      </c>
      <c r="D59" s="228">
        <f>SUM(D47:D58)</f>
        <v>90966043.9514</v>
      </c>
      <c r="E59" s="227">
        <f>SUM(E47:E58)</f>
        <v>167</v>
      </c>
      <c r="F59" s="229">
        <f>SUM(F47:F58)</f>
        <v>62397929.27939999</v>
      </c>
      <c r="G59" s="229">
        <f>SUM(G47:G58)</f>
        <v>23731926</v>
      </c>
      <c r="H59" s="229">
        <f>SUM(H47:H58)</f>
        <v>1430000</v>
      </c>
      <c r="I59" s="229">
        <f>SUM(I47:I58)</f>
        <v>14760000</v>
      </c>
      <c r="J59" s="230">
        <f>SUM(J47:J58)</f>
        <v>33903249.1482</v>
      </c>
    </row>
    <row r="60" ht="15.5" customHeight="1">
      <c r="A60" s="231">
        <v>2015</v>
      </c>
      <c r="B60" t="s" s="213">
        <f>CONCATENATE(K113," ",L$121)</f>
        <v>631</v>
      </c>
      <c r="C60" s="214">
        <f>LOOKUP($B60,'PlusGroup'!B2:B1489,'PlusGroup'!A2:A1489)</f>
        <v>28</v>
      </c>
      <c r="D60" s="215">
        <f>LOOKUP($B60,'PlusGroup'!B2:B1489,'PlusGroup'!E2:E1489)</f>
        <v>7519801</v>
      </c>
      <c r="E60" s="214">
        <f>LOOKUP($B60,'PlusGroup'!B2:B1489,'PlusGroup'!J2:J1489)</f>
        <v>15</v>
      </c>
      <c r="F60" s="216">
        <f>LOOKUP($B60,'PlusGroup'!B2:B1489,'PlusGroup'!H2:H1489)</f>
        <v>1490176</v>
      </c>
      <c r="G60" s="216">
        <f>AE180</f>
        <v>2076593</v>
      </c>
      <c r="H60" s="216">
        <v>125000</v>
      </c>
      <c r="I60" s="216">
        <f t="shared" si="204"/>
        <v>1230000</v>
      </c>
      <c r="J60" s="217">
        <f>((D60-F60)*0.4+F60)-SUM(G60:I60)</f>
        <v>470433</v>
      </c>
    </row>
    <row r="61" ht="15" customHeight="1">
      <c r="A61" s="218"/>
      <c r="B61" t="s" s="219">
        <f>CONCATENATE(K114," ",L$121)</f>
        <v>636</v>
      </c>
      <c r="C61" s="220">
        <f>LOOKUP($B61,'PlusGroup'!B2:B1489,'PlusGroup'!A2:A1489)</f>
        <v>4</v>
      </c>
      <c r="D61" s="221">
        <f>LOOKUP($B61,'PlusGroup'!B2:B1489,'PlusGroup'!E2:E1489)</f>
        <v>3573300</v>
      </c>
      <c r="E61" s="220">
        <f>LOOKUP($B61,'PlusGroup'!B2:B1489,'PlusGroup'!J2:J1489)</f>
        <v>0</v>
      </c>
      <c r="F61" s="222">
        <f>LOOKUP($B61,'PlusGroup'!B2:B1489,'PlusGroup'!H2:H1489)</f>
        <v>0</v>
      </c>
      <c r="G61" s="222">
        <f>AE181</f>
        <v>2288266</v>
      </c>
      <c r="H61" s="222">
        <v>125000</v>
      </c>
      <c r="I61" s="222">
        <f t="shared" si="204"/>
        <v>1230000</v>
      </c>
      <c r="J61" s="223">
        <f>((D61-F61)*0.4+F61)-SUM(G61:I61)</f>
        <v>-2213946</v>
      </c>
    </row>
    <row r="62" ht="15" customHeight="1">
      <c r="A62" s="232"/>
      <c r="B62" t="s" s="213">
        <f>CONCATENATE(K115," ",L$121)</f>
        <v>637</v>
      </c>
      <c r="C62" s="214">
        <f>LOOKUP($B62,'PlusGroup'!B2:B1489,'PlusGroup'!A2:A1489)</f>
        <v>0</v>
      </c>
      <c r="D62" s="215">
        <f>LOOKUP($B62,'PlusGroup'!B2:B1489,'PlusGroup'!E2:E1489)</f>
        <v>0</v>
      </c>
      <c r="E62" s="214">
        <f>LOOKUP($B62,'PlusGroup'!B2:B1489,'PlusGroup'!J2:J1489)</f>
        <v>0</v>
      </c>
      <c r="F62" s="216">
        <f>LOOKUP($B62,'PlusGroup'!B2:B1489,'PlusGroup'!H2:H1489)</f>
        <v>0</v>
      </c>
      <c r="G62" s="216">
        <f>AE182</f>
        <v>2295963</v>
      </c>
      <c r="H62" s="216">
        <v>125000</v>
      </c>
      <c r="I62" s="216">
        <f t="shared" si="204"/>
        <v>1230000</v>
      </c>
      <c r="J62" s="217">
        <f>((D62-F62)*0.4+F62)-SUM(G62:I62)</f>
        <v>-3650963</v>
      </c>
    </row>
    <row r="63" ht="15" customHeight="1">
      <c r="A63" s="218"/>
      <c r="B63" t="s" s="219">
        <f>CONCATENATE(K116," ",L$121)</f>
        <v>643</v>
      </c>
      <c r="C63" s="220">
        <f>LOOKUP($B63,'PlusGroup'!B2:B1489,'PlusGroup'!A2:A1489)</f>
        <v>3</v>
      </c>
      <c r="D63" s="221">
        <f>LOOKUP($B63,'PlusGroup'!B2:B1489,'PlusGroup'!E2:E1489)</f>
        <v>4381355</v>
      </c>
      <c r="E63" s="220">
        <f>LOOKUP($B63,'PlusGroup'!B2:B1489,'PlusGroup'!J2:J1489)</f>
        <v>3</v>
      </c>
      <c r="F63" s="222">
        <f>LOOKUP($B63,'PlusGroup'!B2:B1489,'PlusGroup'!H2:H1489)</f>
        <v>4381355</v>
      </c>
      <c r="G63" s="222">
        <f>AE183</f>
        <v>2211526</v>
      </c>
      <c r="H63" s="222">
        <v>125000</v>
      </c>
      <c r="I63" s="222">
        <f t="shared" si="204"/>
        <v>1230000</v>
      </c>
      <c r="J63" s="223">
        <f>((D63-F63)*0.4+F63)-SUM(G63:I63)</f>
        <v>814829</v>
      </c>
    </row>
    <row r="64" ht="15" customHeight="1">
      <c r="A64" s="232"/>
      <c r="B64" t="s" s="213">
        <f>CONCATENATE(K117," ",L$121)</f>
        <v>650</v>
      </c>
      <c r="C64" s="214">
        <f>LOOKUP($B64,'PlusGroup'!B2:B1489,'PlusGroup'!A2:A1489)</f>
        <v>4</v>
      </c>
      <c r="D64" s="215">
        <f>LOOKUP($B64,'PlusGroup'!B2:B1489,'PlusGroup'!E2:E1489)</f>
        <v>3436939</v>
      </c>
      <c r="E64" s="214">
        <f>LOOKUP($B64,'PlusGroup'!B2:B1489,'PlusGroup'!J2:J1489)</f>
        <v>4</v>
      </c>
      <c r="F64" s="216">
        <f>LOOKUP($B64,'PlusGroup'!B2:B1489,'PlusGroup'!H2:H1489)</f>
        <v>3436939</v>
      </c>
      <c r="G64" s="216">
        <f>AE184</f>
        <v>2459246</v>
      </c>
      <c r="H64" s="216">
        <v>125000</v>
      </c>
      <c r="I64" s="216">
        <f t="shared" si="204"/>
        <v>1230000</v>
      </c>
      <c r="J64" s="217">
        <f>((D64-F64)*0.4+F64)-SUM(G64:I64)</f>
        <v>-377307</v>
      </c>
    </row>
    <row r="65" ht="15" customHeight="1">
      <c r="A65" s="218"/>
      <c r="B65" t="s" s="219">
        <f>CONCATENATE(K118," ",L$121)</f>
        <v>685</v>
      </c>
      <c r="C65" s="220">
        <f>LOOKUP($B65,'PlusGroup'!B2:B1489,'PlusGroup'!A2:A1489)</f>
        <v>50</v>
      </c>
      <c r="D65" s="221">
        <f>LOOKUP($B65,'PlusGroup'!B2:B1489,'PlusGroup'!E2:E1489)</f>
        <v>18476643</v>
      </c>
      <c r="E65" s="220">
        <f>LOOKUP($B65,'PlusGroup'!B2:B1489,'PlusGroup'!J2:J1489)</f>
        <v>43</v>
      </c>
      <c r="F65" s="222">
        <f>LOOKUP($B65,'PlusGroup'!B2:B1489,'PlusGroup'!H2:H1489)</f>
        <v>13578611</v>
      </c>
      <c r="G65" s="222">
        <f>AE185</f>
        <v>2016689</v>
      </c>
      <c r="H65" s="222">
        <v>125000</v>
      </c>
      <c r="I65" s="222">
        <f t="shared" si="204"/>
        <v>1230000</v>
      </c>
      <c r="J65" s="223">
        <f>((D65-F65)*0.4+F65)-SUM(G65:I65)</f>
        <v>12166134.8</v>
      </c>
    </row>
    <row r="66" ht="15" customHeight="1">
      <c r="A66" s="232"/>
      <c r="B66" t="s" s="213">
        <f>CONCATENATE(K119," ",L$121)</f>
        <v>692</v>
      </c>
      <c r="C66" s="214">
        <f>LOOKUP($B66,'PlusGroup'!B2:B1489,'PlusGroup'!A2:A1489)</f>
        <v>9</v>
      </c>
      <c r="D66" s="215">
        <f>LOOKUP($B66,'PlusGroup'!B2:B1489,'PlusGroup'!E2:E1489)</f>
        <v>3092075</v>
      </c>
      <c r="E66" s="214">
        <f>LOOKUP($B66,'PlusGroup'!B2:B1489,'PlusGroup'!J2:J1489)</f>
        <v>8</v>
      </c>
      <c r="F66" s="216">
        <f>LOOKUP($B66,'PlusGroup'!B2:B1489,'PlusGroup'!H2:H1489)</f>
        <v>3047675</v>
      </c>
      <c r="G66" s="216">
        <f>AE186</f>
        <v>1902084</v>
      </c>
      <c r="H66" s="216">
        <v>110000</v>
      </c>
      <c r="I66" s="216">
        <f t="shared" si="204"/>
        <v>1230000</v>
      </c>
      <c r="J66" s="217">
        <f>((D66-F66)*0.4+F66)-SUM(G66:I66)</f>
        <v>-176649</v>
      </c>
    </row>
    <row r="67" ht="15" customHeight="1">
      <c r="A67" s="218"/>
      <c r="B67" t="s" s="219">
        <f>CONCATENATE(K120," ",L$121)</f>
        <v>714</v>
      </c>
      <c r="C67" s="220">
        <f>LOOKUP($B67,'PlusGroup'!B2:B1489,'PlusGroup'!A2:A1489)</f>
        <v>34</v>
      </c>
      <c r="D67" s="221">
        <f>LOOKUP($B67,'PlusGroup'!B2:B1489,'PlusGroup'!E2:E1489)</f>
        <v>10863302</v>
      </c>
      <c r="E67" s="220">
        <f>LOOKUP($B67,'PlusGroup'!B2:B1489,'PlusGroup'!J2:J1489)</f>
        <v>30</v>
      </c>
      <c r="F67" s="222">
        <f>LOOKUP($B67,'PlusGroup'!B2:B1489,'PlusGroup'!H2:H1489)</f>
        <v>8804102</v>
      </c>
      <c r="G67" s="222">
        <f>AE187</f>
        <v>2163057</v>
      </c>
      <c r="H67" s="222">
        <v>110000</v>
      </c>
      <c r="I67" s="222">
        <f t="shared" si="204"/>
        <v>1230000</v>
      </c>
      <c r="J67" s="223">
        <f>((D67-F67)*0.4+F67)-SUM(G67:I67)</f>
        <v>6124725</v>
      </c>
    </row>
    <row r="68" ht="15" customHeight="1">
      <c r="A68" s="232"/>
      <c r="B68" t="s" s="213">
        <f>CONCATENATE(K121," ",L$121)</f>
        <v>755</v>
      </c>
      <c r="C68" s="214">
        <f>LOOKUP($B68,'PlusGroup'!B2:B1489,'PlusGroup'!A2:A1489)</f>
        <v>68</v>
      </c>
      <c r="D68" s="215">
        <f>LOOKUP($B68,'PlusGroup'!B2:B1489,'PlusGroup'!E2:E1489)</f>
        <v>21473389</v>
      </c>
      <c r="E68" s="214">
        <f>LOOKUP($B68,'PlusGroup'!B2:B1489,'PlusGroup'!J2:J1489)</f>
        <v>29</v>
      </c>
      <c r="F68" s="216">
        <f>LOOKUP($B68,'PlusGroup'!B2:B1489,'PlusGroup'!H2:H1489)</f>
        <v>11548566</v>
      </c>
      <c r="G68" s="216">
        <f>AE188</f>
        <v>2013640</v>
      </c>
      <c r="H68" s="216">
        <v>110000</v>
      </c>
      <c r="I68" s="216">
        <f t="shared" si="492" ref="I68:I69">350000+380000+275000</f>
        <v>1005000</v>
      </c>
      <c r="J68" s="217">
        <f>((D68-F68)*0.4+F68)-SUM(G68:I68)</f>
        <v>12389855.2</v>
      </c>
    </row>
    <row r="69" ht="15" customHeight="1">
      <c r="A69" s="218"/>
      <c r="B69" t="s" s="219">
        <f>CONCATENATE(K122," ",L$121)</f>
        <v>757</v>
      </c>
      <c r="C69" s="220">
        <f>LOOKUP($B69,'PlusGroup'!B2:B1489,'PlusGroup'!A2:A1489)</f>
        <v>0</v>
      </c>
      <c r="D69" s="221">
        <f>LOOKUP($B69,'PlusGroup'!B2:B1489,'PlusGroup'!E2:E1489)</f>
        <v>0</v>
      </c>
      <c r="E69" s="220">
        <f>LOOKUP($B69,'PlusGroup'!B2:B1489,'PlusGroup'!J2:J1489)</f>
        <v>0</v>
      </c>
      <c r="F69" s="222">
        <f>LOOKUP($B69,'PlusGroup'!B2:B1489,'PlusGroup'!H2:H1489)</f>
        <v>0</v>
      </c>
      <c r="G69" s="222">
        <f>AE189</f>
        <v>2230145</v>
      </c>
      <c r="H69" s="222">
        <v>125000</v>
      </c>
      <c r="I69" s="222">
        <f t="shared" si="492"/>
        <v>1005000</v>
      </c>
      <c r="J69" s="223">
        <f>((D69-F69)*0.4+F69)-SUM(G69:I69)</f>
        <v>-3360145</v>
      </c>
    </row>
    <row r="70" ht="15" customHeight="1">
      <c r="A70" s="232"/>
      <c r="B70" t="s" s="213">
        <f>CONCATENATE(K123," ",L$121)</f>
        <v>758</v>
      </c>
      <c r="C70" s="214">
        <f>LOOKUP($B70,'PlusGroup'!B2:B1489,'PlusGroup'!A2:A1489)</f>
        <v>32</v>
      </c>
      <c r="D70" s="215">
        <f>LOOKUP($B70,'PlusGroup'!B2:B1489,'PlusGroup'!E2:E1489)</f>
        <v>10861812</v>
      </c>
      <c r="E70" s="214">
        <f>LOOKUP($B70,'PlusGroup'!B2:B1489,'PlusGroup'!J2:J1489)</f>
        <v>28</v>
      </c>
      <c r="F70" s="216">
        <f>LOOKUP($B70,'PlusGroup'!B2:B1489,'PlusGroup'!H2:H1489)</f>
        <v>9083431</v>
      </c>
      <c r="G70" s="216">
        <f>AE190</f>
        <v>1686832</v>
      </c>
      <c r="H70" s="216">
        <v>110000</v>
      </c>
      <c r="I70" s="216">
        <f t="shared" si="508" ref="I70:I94">380000+275000</f>
        <v>655000</v>
      </c>
      <c r="J70" s="217">
        <f>((D70-F70)*0.4+F70)-SUM(G70:I70)</f>
        <v>7342951.4</v>
      </c>
    </row>
    <row r="71" ht="15.5" customHeight="1">
      <c r="A71" s="233"/>
      <c r="B71" t="s" s="219">
        <f>CONCATENATE(K124," ",L$121)</f>
        <v>759</v>
      </c>
      <c r="C71" s="220">
        <f>LOOKUP($B71,'PlusGroup'!B2:B1489,'PlusGroup'!A2:A1489)</f>
        <v>8</v>
      </c>
      <c r="D71" s="221">
        <f>LOOKUP($B71,'PlusGroup'!B2:B1489,'PlusGroup'!E2:E1489)</f>
        <v>5820010</v>
      </c>
      <c r="E71" s="220">
        <f>LOOKUP($B71,'PlusGroup'!B2:B1489,'PlusGroup'!J2:J1489)</f>
        <v>4</v>
      </c>
      <c r="F71" s="222">
        <f>LOOKUP($B71,'PlusGroup'!B2:B1489,'PlusGroup'!H2:H1489)</f>
        <v>1074040</v>
      </c>
      <c r="G71" s="222">
        <f>AE191</f>
        <v>1767612</v>
      </c>
      <c r="H71" s="222">
        <v>125000</v>
      </c>
      <c r="I71" s="222">
        <f t="shared" si="508"/>
        <v>655000</v>
      </c>
      <c r="J71" s="223">
        <f>((D71-F71)*0.4+F71)-SUM(G71:I71)</f>
        <v>424816</v>
      </c>
    </row>
    <row r="72" ht="16" customHeight="1">
      <c r="A72" s="225"/>
      <c r="B72" s="234"/>
      <c r="C72" s="227">
        <f>SUM(C60:C71)</f>
        <v>240</v>
      </c>
      <c r="D72" s="228">
        <f>SUM(D60:D71)</f>
        <v>89498626</v>
      </c>
      <c r="E72" s="227">
        <f>SUM(E60:E71)</f>
        <v>164</v>
      </c>
      <c r="F72" s="229">
        <f>SUM(F60:F71)</f>
        <v>56444895</v>
      </c>
      <c r="G72" s="229">
        <f>SUM(G60:G71)</f>
        <v>25111653</v>
      </c>
      <c r="H72" s="229">
        <f>SUM(H60:H71)</f>
        <v>1440000</v>
      </c>
      <c r="I72" s="229">
        <f>SUM(I60:I71)</f>
        <v>13160000</v>
      </c>
      <c r="J72" s="230">
        <f>SUM(J60:J71)</f>
        <v>29954734.4</v>
      </c>
    </row>
    <row r="73" ht="15.5" customHeight="1">
      <c r="A73" s="212">
        <v>2016</v>
      </c>
      <c r="B73" t="s" s="219">
        <v>779</v>
      </c>
      <c r="C73" s="220">
        <f>LOOKUP($B73,'PlusClimatizacion'!$B2:$B354,'PlusClimatizacion'!A2:A354)+LOOKUP($B73,'PlusGroup'!$B2:$B1489,'PlusGroup'!A2:A1489)</f>
        <v>19</v>
      </c>
      <c r="D73" s="235">
        <f>LOOKUP($B73,'PlusClimatizacion'!$B2:$B354,'PlusClimatizacion'!E2:E354)+LOOKUP($B73,'PlusGroup'!$B2:$B1489,'PlusGroup'!E2:E1489)</f>
        <v>13944729</v>
      </c>
      <c r="E73" s="220">
        <f>LOOKUP($B73,'PlusClimatizacion'!$B2:$B354,'PlusClimatizacion'!A2:A354)+LOOKUP($B73,'PlusGroup'!$B2:$B1489,'PlusGroup'!A2:A1489)</f>
        <v>19</v>
      </c>
      <c r="F73" s="222">
        <f>LOOKUP($B73,'PlusClimatizacion'!$B2:$B354,'PlusClimatizacion'!H2:H354)+LOOKUP($B73,'PlusGroup'!$B2:$B1489,'PlusGroup'!H2:H1489)</f>
        <v>2795669</v>
      </c>
      <c r="G73" s="222">
        <f>AE193</f>
        <v>1530811</v>
      </c>
      <c r="H73" s="222">
        <v>85000</v>
      </c>
      <c r="I73" s="222">
        <f t="shared" si="508"/>
        <v>655000</v>
      </c>
      <c r="J73" s="223">
        <f>((D73-F73)*0.4+F73)-SUM(G73:I73)</f>
        <v>4984482</v>
      </c>
    </row>
    <row r="74" ht="15" customHeight="1">
      <c r="A74" s="232"/>
      <c r="B74" t="s" s="213">
        <v>1079</v>
      </c>
      <c r="C74" s="214">
        <f>LOOKUP($B74,'PlusClimatizacion'!$B2:$B354,'PlusClimatizacion'!A2:A354)</f>
        <v>37</v>
      </c>
      <c r="D74" s="216">
        <f>LOOKUP($B74,'PlusClimatizacion'!$B2:$B354,'PlusClimatizacion'!E2:E354)</f>
        <v>13738471</v>
      </c>
      <c r="E74" s="214">
        <f>LOOKUP($B74,'PlusClimatizacion'!B2:B354,'PlusClimatizacion'!I2:I354)</f>
        <v>20</v>
      </c>
      <c r="F74" s="216">
        <f>LOOKUP($B74,'PlusClimatizacion'!B2:B354,'PlusClimatizacion'!H2:H354)</f>
        <v>7390654</v>
      </c>
      <c r="G74" s="216">
        <f>AE194</f>
        <v>1464004</v>
      </c>
      <c r="H74" s="216">
        <v>85000</v>
      </c>
      <c r="I74" s="216">
        <f t="shared" si="508"/>
        <v>655000</v>
      </c>
      <c r="J74" s="217">
        <f>((D74-F74)*0.4+F74)-SUM(G74:I74)</f>
        <v>7725776.800000001</v>
      </c>
    </row>
    <row r="75" ht="15" customHeight="1">
      <c r="A75" s="218"/>
      <c r="B75" t="s" s="219">
        <v>1080</v>
      </c>
      <c r="C75" s="220">
        <f>LOOKUP($B75,'PlusClimatizacion'!$B2:$B354,'PlusClimatizacion'!A2:A354)</f>
        <v>12</v>
      </c>
      <c r="D75" s="222">
        <f>LOOKUP($B75,'PlusClimatizacion'!$B2:$B354,'PlusClimatizacion'!E2:E354)</f>
        <v>5342743</v>
      </c>
      <c r="E75" s="220">
        <f>LOOKUP($B75,'PlusClimatizacion'!B2:B354,'PlusClimatizacion'!I2:I354)</f>
        <v>8</v>
      </c>
      <c r="F75" s="222">
        <f>LOOKUP($B75,'PlusClimatizacion'!B2:B354,'PlusClimatizacion'!H2:H354)</f>
        <v>2837775</v>
      </c>
      <c r="G75" s="222">
        <f>AE195</f>
        <v>1161439</v>
      </c>
      <c r="H75" s="222">
        <v>70000</v>
      </c>
      <c r="I75" s="222">
        <f t="shared" si="508"/>
        <v>655000</v>
      </c>
      <c r="J75" s="223">
        <f>((D75-F75)*0.4+F75)-SUM(G75:I75)</f>
        <v>1953323.2</v>
      </c>
    </row>
    <row r="76" ht="15" customHeight="1">
      <c r="A76" s="232"/>
      <c r="B76" t="s" s="213">
        <v>1081</v>
      </c>
      <c r="C76" s="214">
        <f>LOOKUP($B76,'PlusClimatizacion'!$B2:$B354,'PlusClimatizacion'!A2:A354)</f>
        <v>15</v>
      </c>
      <c r="D76" s="216">
        <f>LOOKUP($B76,'PlusClimatizacion'!$B2:$B354,'PlusClimatizacion'!E2:E354)</f>
        <v>11327523</v>
      </c>
      <c r="E76" s="214">
        <f>LOOKUP($B76,'PlusClimatizacion'!B2:B354,'PlusClimatizacion'!I2:I354)</f>
        <v>14</v>
      </c>
      <c r="F76" s="216">
        <f>LOOKUP($B76,'PlusClimatizacion'!B2:B354,'PlusClimatizacion'!H2:H354)</f>
        <v>11327523</v>
      </c>
      <c r="G76" s="216">
        <f>AE196</f>
        <v>1028781</v>
      </c>
      <c r="H76" s="216">
        <v>70000</v>
      </c>
      <c r="I76" s="216">
        <f t="shared" si="508"/>
        <v>655000</v>
      </c>
      <c r="J76" s="217">
        <f>((D76-F76)*0.4+F76)-SUM(G76:I76)</f>
        <v>9573742</v>
      </c>
    </row>
    <row r="77" ht="15" customHeight="1">
      <c r="A77" s="218"/>
      <c r="B77" t="s" s="219">
        <v>1082</v>
      </c>
      <c r="C77" s="220">
        <f>LOOKUP($B77,'PlusClimatizacion'!$B2:$B354,'PlusClimatizacion'!A2:A354)</f>
        <v>30</v>
      </c>
      <c r="D77" s="222">
        <f>LOOKUP($B77,'PlusClimatizacion'!$B2:$B354,'PlusClimatizacion'!E2:E354)</f>
        <v>8774413</v>
      </c>
      <c r="E77" s="220">
        <f>LOOKUP($B77,'PlusClimatizacion'!B2:B354,'PlusClimatizacion'!I2:I354)</f>
        <v>25</v>
      </c>
      <c r="F77" s="222">
        <f>LOOKUP($B77,'PlusClimatizacion'!B2:B354,'PlusClimatizacion'!H2:H354)</f>
        <v>8081703</v>
      </c>
      <c r="G77" s="222">
        <f>AE197</f>
        <v>1836404</v>
      </c>
      <c r="H77" s="222">
        <v>90000</v>
      </c>
      <c r="I77" s="222">
        <f t="shared" si="508"/>
        <v>655000</v>
      </c>
      <c r="J77" s="223">
        <f>((D77-F77)*0.4+F77)-SUM(G77:I77)</f>
        <v>5777383</v>
      </c>
    </row>
    <row r="78" ht="15" customHeight="1">
      <c r="A78" s="232"/>
      <c r="B78" t="s" s="213">
        <v>1083</v>
      </c>
      <c r="C78" s="214">
        <f>LOOKUP($B78,'PlusClimatizacion'!$B2:$B354,'PlusClimatizacion'!A2:A354)</f>
        <v>26</v>
      </c>
      <c r="D78" s="216">
        <f>LOOKUP($B78,'PlusClimatizacion'!$B2:$B354,'PlusClimatizacion'!E2:E354)</f>
        <v>11290056</v>
      </c>
      <c r="E78" s="214">
        <f>LOOKUP($B78,'PlusClimatizacion'!B2:B354,'PlusClimatizacion'!I2:I354)</f>
        <v>22</v>
      </c>
      <c r="F78" s="216">
        <f>LOOKUP($B78,'PlusClimatizacion'!B2:B354,'PlusClimatizacion'!H2:H354)</f>
        <v>10623656</v>
      </c>
      <c r="G78" s="216">
        <f>AE198</f>
        <v>1730869</v>
      </c>
      <c r="H78" s="216">
        <v>90000</v>
      </c>
      <c r="I78" s="216">
        <f t="shared" si="508"/>
        <v>655000</v>
      </c>
      <c r="J78" s="217">
        <f>((D78-F78)*0.4+F78)-SUM(G78:I78)</f>
        <v>8414347</v>
      </c>
    </row>
    <row r="79" ht="15" customHeight="1">
      <c r="A79" s="218"/>
      <c r="B79" t="s" s="219">
        <v>1084</v>
      </c>
      <c r="C79" s="220">
        <f>LOOKUP($B79,'PlusClimatizacion'!$B2:$B354,'PlusClimatizacion'!A2:A354)</f>
        <v>14</v>
      </c>
      <c r="D79" s="222">
        <f>LOOKUP($B79,'PlusClimatizacion'!$B2:$B354,'PlusClimatizacion'!E2:E354)</f>
        <v>3138301</v>
      </c>
      <c r="E79" s="220">
        <f>LOOKUP($B79,'PlusClimatizacion'!B2:B354,'PlusClimatizacion'!I2:I354)</f>
        <v>9</v>
      </c>
      <c r="F79" s="222">
        <f>LOOKUP($B79,'PlusClimatizacion'!B2:B354,'PlusClimatizacion'!H2:H354)</f>
        <v>1576247</v>
      </c>
      <c r="G79" s="222">
        <f>AE199</f>
        <v>1740476</v>
      </c>
      <c r="H79" s="222">
        <v>90000</v>
      </c>
      <c r="I79" s="222">
        <f t="shared" si="508"/>
        <v>655000</v>
      </c>
      <c r="J79" s="223">
        <f>((D79-F79)*0.4+F79)-SUM(G79:I79)</f>
        <v>-284407.3999999999</v>
      </c>
    </row>
    <row r="80" ht="15" customHeight="1">
      <c r="A80" s="232"/>
      <c r="B80" t="s" s="213">
        <v>1085</v>
      </c>
      <c r="C80" s="214">
        <f>LOOKUP($B80,'PlusClimatizacion'!$B2:$B354,'PlusClimatizacion'!A2:A354)</f>
        <v>28</v>
      </c>
      <c r="D80" s="216">
        <f>LOOKUP($B80,'PlusClimatizacion'!$B2:$B354,'PlusClimatizacion'!E2:E354)</f>
        <v>11184413</v>
      </c>
      <c r="E80" s="214">
        <f>LOOKUP($B80,'PlusClimatizacion'!B2:B354,'PlusClimatizacion'!I2:I354)</f>
        <v>20</v>
      </c>
      <c r="F80" s="216">
        <f>LOOKUP($B80,'PlusClimatizacion'!B2:B354,'PlusClimatizacion'!H2:H354)</f>
        <v>7472244</v>
      </c>
      <c r="G80" s="216">
        <f>AE200</f>
        <v>1774221</v>
      </c>
      <c r="H80" s="216">
        <v>90000</v>
      </c>
      <c r="I80" s="216">
        <f t="shared" si="508"/>
        <v>655000</v>
      </c>
      <c r="J80" s="217">
        <f>((D80-F80)*0.4+F80)-SUM(G80:I80)</f>
        <v>6437890.6</v>
      </c>
    </row>
    <row r="81" ht="15" customHeight="1">
      <c r="A81" s="218"/>
      <c r="B81" t="s" s="219">
        <v>1086</v>
      </c>
      <c r="C81" s="220">
        <f>LOOKUP($B81,'PlusClimatizacion'!$B2:$B354,'PlusClimatizacion'!A2:A354)</f>
        <v>17</v>
      </c>
      <c r="D81" s="222">
        <f>LOOKUP($B81,'PlusClimatizacion'!$B2:$B354,'PlusClimatizacion'!E2:E354)</f>
        <v>4771417</v>
      </c>
      <c r="E81" s="220">
        <f>LOOKUP($B81,'PlusClimatizacion'!B2:B354,'PlusClimatizacion'!I2:I354)</f>
        <v>15</v>
      </c>
      <c r="F81" s="222">
        <f>LOOKUP($B81,'PlusClimatizacion'!B2:B354,'PlusClimatizacion'!H2:H354)</f>
        <v>4592917</v>
      </c>
      <c r="G81" s="222">
        <f>AE201</f>
        <v>1561381</v>
      </c>
      <c r="H81" s="222">
        <v>90000</v>
      </c>
      <c r="I81" s="222">
        <f t="shared" si="508"/>
        <v>655000</v>
      </c>
      <c r="J81" s="223">
        <f>((D81-F81)*0.4+F81)-SUM(G81:I81)</f>
        <v>2357936</v>
      </c>
    </row>
    <row r="82" ht="15" customHeight="1">
      <c r="A82" s="232"/>
      <c r="B82" t="s" s="213">
        <v>1087</v>
      </c>
      <c r="C82" s="214">
        <f>LOOKUP($B82,'PlusClimatizacion'!$B2:$B354,'PlusClimatizacion'!A2:A354)</f>
        <v>19</v>
      </c>
      <c r="D82" s="216">
        <f>LOOKUP($B82,'PlusClimatizacion'!$B2:$B354,'PlusClimatizacion'!E2:E354)</f>
        <v>3807427</v>
      </c>
      <c r="E82" s="214">
        <f>LOOKUP($B82,'PlusClimatizacion'!B2:B354,'PlusClimatizacion'!I2:I354)</f>
        <v>12</v>
      </c>
      <c r="F82" s="216">
        <f>LOOKUP($B82,'PlusClimatizacion'!B2:B354,'PlusClimatizacion'!H2:H354)</f>
        <v>2772611</v>
      </c>
      <c r="G82" s="216">
        <f>AE202</f>
        <v>1717482</v>
      </c>
      <c r="H82" s="216">
        <v>90000</v>
      </c>
      <c r="I82" s="216">
        <f t="shared" si="508"/>
        <v>655000</v>
      </c>
      <c r="J82" s="217">
        <f>((D82-F82)*0.4+F82)-SUM(G82:I82)</f>
        <v>724055.3999999999</v>
      </c>
    </row>
    <row r="83" ht="15" customHeight="1">
      <c r="A83" s="218"/>
      <c r="B83" t="s" s="219">
        <v>1088</v>
      </c>
      <c r="C83" s="220">
        <f>LOOKUP($B83,'PlusClimatizacion'!$B2:$B354,'PlusClimatizacion'!A2:A354)</f>
        <v>26</v>
      </c>
      <c r="D83" s="222">
        <f>LOOKUP($B83,'PlusClimatizacion'!$B2:$B354,'PlusClimatizacion'!E2:E354)</f>
        <v>7658690</v>
      </c>
      <c r="E83" s="220">
        <f>LOOKUP($B83,'PlusClimatizacion'!B2:B354,'PlusClimatizacion'!I2:I354)</f>
        <v>19</v>
      </c>
      <c r="F83" s="222">
        <f>LOOKUP($B83,'PlusClimatizacion'!B2:B354,'PlusClimatizacion'!H2:H354)</f>
        <v>7155915</v>
      </c>
      <c r="G83" s="222">
        <f>AE203</f>
        <v>1522794</v>
      </c>
      <c r="H83" s="222">
        <v>90000</v>
      </c>
      <c r="I83" s="222">
        <f t="shared" si="508"/>
        <v>655000</v>
      </c>
      <c r="J83" s="223">
        <f>((D83-F83)*0.4+F83)-SUM(G83:I83)</f>
        <v>5089231</v>
      </c>
    </row>
    <row r="84" ht="15.5" customHeight="1">
      <c r="A84" s="224"/>
      <c r="B84" t="s" s="213">
        <v>1089</v>
      </c>
      <c r="C84" s="214">
        <f>LOOKUP($B84,'PlusClimatizacion'!$B2:$B354,'PlusClimatizacion'!A2:A354)</f>
        <v>45</v>
      </c>
      <c r="D84" s="216">
        <f>LOOKUP($B84,'PlusClimatizacion'!$B2:$B354,'PlusClimatizacion'!E2:E354)</f>
        <v>6511887</v>
      </c>
      <c r="E84" s="214">
        <f>LOOKUP($B84,'PlusClimatizacion'!B2:B354,'PlusClimatizacion'!I2:I354)</f>
        <v>17</v>
      </c>
      <c r="F84" s="216">
        <f>LOOKUP($B84,'PlusClimatizacion'!B2:B354,'PlusClimatizacion'!H2:H354)</f>
        <v>5395845</v>
      </c>
      <c r="G84" s="216">
        <f>AE204</f>
        <v>703826</v>
      </c>
      <c r="H84" s="216">
        <v>75000</v>
      </c>
      <c r="I84" s="216">
        <f t="shared" si="508"/>
        <v>655000</v>
      </c>
      <c r="J84" s="217">
        <f>((D84-F84)*0.4+F84)-SUM(G84:I84)</f>
        <v>4408435.8</v>
      </c>
    </row>
    <row r="85" ht="16" customHeight="1">
      <c r="A85" s="225"/>
      <c r="B85" s="234"/>
      <c r="C85" s="227">
        <f>SUM(C73:C84)</f>
        <v>288</v>
      </c>
      <c r="D85" s="229">
        <f>SUM(D73:D84)</f>
        <v>101490070</v>
      </c>
      <c r="E85" s="227">
        <f>SUM(E73:E84)</f>
        <v>200</v>
      </c>
      <c r="F85" s="229">
        <f>SUM(F73:F84)</f>
        <v>72022759</v>
      </c>
      <c r="G85" s="229">
        <f>SUM(G73:G84)</f>
        <v>17772488</v>
      </c>
      <c r="H85" s="229">
        <f>SUM(H73:H84)</f>
        <v>1015000</v>
      </c>
      <c r="I85" s="229">
        <f>SUM(I73:I84)</f>
        <v>7860000</v>
      </c>
      <c r="J85" s="230">
        <f>SUM(J73:J84)</f>
        <v>57162195.4</v>
      </c>
    </row>
    <row r="86" ht="15.5" customHeight="1">
      <c r="A86" s="231">
        <v>2017</v>
      </c>
      <c r="B86" t="s" s="213">
        <v>1090</v>
      </c>
      <c r="C86" s="214">
        <f>LOOKUP($B86,'PlusClimatizacion'!$B2:$B354,'PlusClimatizacion'!A2:A354)</f>
        <v>22</v>
      </c>
      <c r="D86" s="216">
        <f>LOOKUP($B86,'PlusClimatizacion'!$B2:$B354,'PlusClimatizacion'!E2:E354)</f>
        <v>7626575</v>
      </c>
      <c r="E86" s="214">
        <f>LOOKUP($B86,'PlusClimatizacion'!B2:B354,'PlusClimatizacion'!I2:I354)</f>
        <v>17</v>
      </c>
      <c r="F86" s="216">
        <f>LOOKUP($B86,'PlusClimatizacion'!B2:B354,'PlusClimatizacion'!H2:H354)</f>
        <v>4694939</v>
      </c>
      <c r="G86" s="216">
        <f>AE206</f>
        <v>696468</v>
      </c>
      <c r="H86" s="216">
        <v>70000</v>
      </c>
      <c r="I86" s="216">
        <f t="shared" si="508"/>
        <v>655000</v>
      </c>
      <c r="J86" s="217">
        <f>((D86-F86)*0.4+F86)-SUM(G86:I86)</f>
        <v>4446125.4</v>
      </c>
    </row>
    <row r="87" ht="15" customHeight="1">
      <c r="A87" s="218"/>
      <c r="B87" t="s" s="219">
        <v>1091</v>
      </c>
      <c r="C87" s="220">
        <f>LOOKUP($B87,'PlusClimatizacion'!$B2:$B354,'PlusClimatizacion'!A2:A354)</f>
        <v>9</v>
      </c>
      <c r="D87" s="222">
        <f>LOOKUP($B87,'PlusClimatizacion'!$B2:$B354,'PlusClimatizacion'!E2:E354)</f>
        <v>2034213</v>
      </c>
      <c r="E87" s="220">
        <f>LOOKUP($B87,'PlusClimatizacion'!B2:B354,'PlusClimatizacion'!I2:I354)</f>
        <v>7</v>
      </c>
      <c r="F87" s="222">
        <f>LOOKUP($B87,'PlusClimatizacion'!B2:B354,'PlusClimatizacion'!H2:H354)</f>
        <v>2034213</v>
      </c>
      <c r="G87" s="222">
        <f>AE207</f>
        <v>699580</v>
      </c>
      <c r="H87" s="222">
        <v>70000</v>
      </c>
      <c r="I87" s="222">
        <f t="shared" si="508"/>
        <v>655000</v>
      </c>
      <c r="J87" s="223"/>
    </row>
    <row r="88" ht="15" customHeight="1">
      <c r="A88" s="232"/>
      <c r="B88" t="s" s="213">
        <v>1092</v>
      </c>
      <c r="C88" s="236"/>
      <c r="D88" s="237"/>
      <c r="E88" s="237"/>
      <c r="F88" s="238"/>
      <c r="G88" s="216">
        <f>AE208</f>
        <v>649041</v>
      </c>
      <c r="H88" s="216">
        <v>70000</v>
      </c>
      <c r="I88" s="216">
        <f t="shared" si="508"/>
        <v>655000</v>
      </c>
      <c r="J88" s="217"/>
    </row>
    <row r="89" ht="15" customHeight="1">
      <c r="A89" s="218"/>
      <c r="B89" t="s" s="219">
        <v>1093</v>
      </c>
      <c r="C89" s="239"/>
      <c r="D89" s="240"/>
      <c r="E89" s="240"/>
      <c r="F89" s="241"/>
      <c r="G89" s="222">
        <f>AE209</f>
        <v>712671</v>
      </c>
      <c r="H89" s="222">
        <v>70000</v>
      </c>
      <c r="I89" s="222">
        <f t="shared" si="508"/>
        <v>655000</v>
      </c>
      <c r="J89" s="223"/>
    </row>
    <row r="90" ht="15" customHeight="1">
      <c r="A90" s="232"/>
      <c r="B90" t="s" s="213">
        <v>1094</v>
      </c>
      <c r="C90" s="236"/>
      <c r="D90" s="237"/>
      <c r="E90" s="237"/>
      <c r="F90" s="238"/>
      <c r="G90" s="216">
        <f>AE210</f>
        <v>607097</v>
      </c>
      <c r="H90" s="216">
        <v>70000</v>
      </c>
      <c r="I90" s="216">
        <f t="shared" si="508"/>
        <v>655000</v>
      </c>
      <c r="J90" s="217"/>
    </row>
    <row r="91" ht="15" customHeight="1">
      <c r="A91" s="218"/>
      <c r="B91" t="s" s="219">
        <v>1095</v>
      </c>
      <c r="C91" s="239"/>
      <c r="D91" s="240"/>
      <c r="E91" s="240"/>
      <c r="F91" s="241"/>
      <c r="G91" s="222">
        <f>AE211</f>
        <v>705297</v>
      </c>
      <c r="H91" s="222">
        <v>70000</v>
      </c>
      <c r="I91" s="222">
        <f t="shared" si="508"/>
        <v>655000</v>
      </c>
      <c r="J91" s="223"/>
    </row>
    <row r="92" ht="15" customHeight="1">
      <c r="A92" s="232"/>
      <c r="B92" t="s" s="213">
        <v>1096</v>
      </c>
      <c r="C92" s="236"/>
      <c r="D92" s="237"/>
      <c r="E92" s="237"/>
      <c r="F92" s="238"/>
      <c r="G92" s="216">
        <f>AE212</f>
        <v>820483</v>
      </c>
      <c r="H92" s="216">
        <v>70000</v>
      </c>
      <c r="I92" s="216">
        <f t="shared" si="508"/>
        <v>655000</v>
      </c>
      <c r="J92" s="217"/>
    </row>
    <row r="93" ht="15" customHeight="1">
      <c r="A93" s="218"/>
      <c r="B93" t="s" s="219">
        <v>1097</v>
      </c>
      <c r="C93" s="239"/>
      <c r="D93" s="240"/>
      <c r="E93" s="240"/>
      <c r="F93" s="241"/>
      <c r="G93" s="222">
        <f>AE213</f>
        <v>659628</v>
      </c>
      <c r="H93" s="222">
        <v>70000</v>
      </c>
      <c r="I93" s="222">
        <f t="shared" si="508"/>
        <v>655000</v>
      </c>
      <c r="J93" s="223"/>
    </row>
    <row r="94" ht="15" customHeight="1">
      <c r="A94" s="232"/>
      <c r="B94" t="s" s="213">
        <v>1098</v>
      </c>
      <c r="C94" s="236"/>
      <c r="D94" s="237"/>
      <c r="E94" s="237"/>
      <c r="F94" s="238"/>
      <c r="G94" s="216">
        <f>AE214</f>
        <v>243776</v>
      </c>
      <c r="H94" s="216">
        <v>70000</v>
      </c>
      <c r="I94" s="216">
        <f t="shared" si="508"/>
        <v>655000</v>
      </c>
      <c r="J94" s="217"/>
    </row>
    <row r="95" ht="15" customHeight="1">
      <c r="A95" s="218"/>
      <c r="B95" t="s" s="219">
        <v>1099</v>
      </c>
      <c r="C95" s="239"/>
      <c r="D95" s="240"/>
      <c r="E95" s="240"/>
      <c r="F95" s="241"/>
      <c r="G95" s="222">
        <f>AE215</f>
        <v>0</v>
      </c>
      <c r="H95" s="222"/>
      <c r="I95" s="222"/>
      <c r="J95" s="223">
        <f>((D95-F95)*0.4+F95)-SUM(G95:I95)</f>
        <v>0</v>
      </c>
    </row>
    <row r="96" ht="15" customHeight="1">
      <c r="A96" s="232"/>
      <c r="B96" t="s" s="213">
        <v>1100</v>
      </c>
      <c r="C96" s="236"/>
      <c r="D96" s="237"/>
      <c r="E96" s="237"/>
      <c r="F96" s="238"/>
      <c r="G96" s="216">
        <f>AE216</f>
        <v>0</v>
      </c>
      <c r="H96" s="216"/>
      <c r="I96" s="216"/>
      <c r="J96" s="217">
        <f>((D96-F96)*0.4+F96)-SUM(G96:I96)</f>
        <v>0</v>
      </c>
    </row>
    <row r="97" ht="15.5" customHeight="1">
      <c r="A97" s="233"/>
      <c r="B97" t="s" s="219">
        <v>1101</v>
      </c>
      <c r="C97" s="239"/>
      <c r="D97" s="240"/>
      <c r="E97" s="240"/>
      <c r="F97" s="241"/>
      <c r="G97" s="222">
        <f>AE217</f>
        <v>0</v>
      </c>
      <c r="H97" s="222"/>
      <c r="I97" s="222"/>
      <c r="J97" s="223">
        <f>((D97-F97)*0.4+F97)-SUM(G97:I97)</f>
        <v>0</v>
      </c>
    </row>
    <row r="98" ht="16" customHeight="1">
      <c r="A98" s="225"/>
      <c r="B98" s="234"/>
      <c r="C98" s="227">
        <f>SUM(C86:C97)</f>
        <v>31</v>
      </c>
      <c r="D98" s="229">
        <f>SUM(D86:D97)</f>
        <v>9660788</v>
      </c>
      <c r="E98" s="227">
        <f>SUM(E86:E97)</f>
        <v>24</v>
      </c>
      <c r="F98" s="242">
        <f>SUM(F86:F97)</f>
        <v>6729152</v>
      </c>
      <c r="G98" s="229">
        <f>SUM(G86:G97)</f>
        <v>5794041</v>
      </c>
      <c r="H98" s="229">
        <f>SUM(H86:H97)</f>
        <v>630000</v>
      </c>
      <c r="I98" s="229">
        <f>SUM(I86:I97)</f>
        <v>5895000</v>
      </c>
      <c r="J98" s="230">
        <f>SUM(J86:J97)</f>
        <v>4446125.4</v>
      </c>
    </row>
    <row r="99" ht="13.4" customHeight="1" hidden="1">
      <c r="A99" s="212">
        <v>2018</v>
      </c>
      <c r="B99" t="s" s="219">
        <v>1102</v>
      </c>
      <c r="C99" s="239"/>
      <c r="D99" s="240"/>
      <c r="E99" s="240"/>
      <c r="F99" s="241"/>
      <c r="G99" s="222"/>
      <c r="H99" s="222"/>
      <c r="I99" s="222"/>
      <c r="J99" s="223"/>
    </row>
    <row r="100" ht="13.4" customHeight="1" hidden="1">
      <c r="A100" s="232"/>
      <c r="B100" t="s" s="213">
        <v>1103</v>
      </c>
      <c r="C100" s="236"/>
      <c r="D100" s="237"/>
      <c r="E100" s="237"/>
      <c r="F100" s="238"/>
      <c r="G100" s="216"/>
      <c r="H100" s="216"/>
      <c r="I100" s="216"/>
      <c r="J100" s="217"/>
    </row>
    <row r="101" ht="13.4" customHeight="1" hidden="1">
      <c r="A101" s="218"/>
      <c r="B101" t="s" s="219">
        <v>1104</v>
      </c>
      <c r="C101" s="239"/>
      <c r="D101" s="240"/>
      <c r="E101" s="240"/>
      <c r="F101" s="241"/>
      <c r="G101" s="222"/>
      <c r="H101" s="222"/>
      <c r="I101" s="222"/>
      <c r="J101" s="223"/>
    </row>
    <row r="102" ht="13.4" customHeight="1" hidden="1">
      <c r="A102" s="232"/>
      <c r="B102" t="s" s="213">
        <v>1105</v>
      </c>
      <c r="C102" s="236"/>
      <c r="D102" s="237"/>
      <c r="E102" s="237"/>
      <c r="F102" s="238"/>
      <c r="G102" s="216"/>
      <c r="H102" s="216"/>
      <c r="I102" s="216"/>
      <c r="J102" s="217"/>
    </row>
    <row r="103" ht="13.4" customHeight="1" hidden="1">
      <c r="A103" s="218"/>
      <c r="B103" t="s" s="219">
        <v>1106</v>
      </c>
      <c r="C103" s="239"/>
      <c r="D103" s="240"/>
      <c r="E103" s="240"/>
      <c r="F103" s="241"/>
      <c r="G103" s="222"/>
      <c r="H103" s="222"/>
      <c r="I103" s="222"/>
      <c r="J103" s="223"/>
    </row>
    <row r="104" ht="13.4" customHeight="1" hidden="1">
      <c r="A104" s="232"/>
      <c r="B104" t="s" s="213">
        <v>1107</v>
      </c>
      <c r="C104" s="236"/>
      <c r="D104" s="237"/>
      <c r="E104" s="237"/>
      <c r="F104" s="238"/>
      <c r="G104" s="216"/>
      <c r="H104" s="216"/>
      <c r="I104" s="216"/>
      <c r="J104" s="217"/>
    </row>
    <row r="105" ht="13.4" customHeight="1" hidden="1">
      <c r="A105" s="218"/>
      <c r="B105" t="s" s="219">
        <v>1108</v>
      </c>
      <c r="C105" s="239"/>
      <c r="D105" s="240"/>
      <c r="E105" s="240"/>
      <c r="F105" s="241"/>
      <c r="G105" s="222"/>
      <c r="H105" s="222"/>
      <c r="I105" s="222"/>
      <c r="J105" s="223"/>
    </row>
    <row r="106" ht="13.4" customHeight="1" hidden="1">
      <c r="A106" s="232"/>
      <c r="B106" t="s" s="213">
        <v>1109</v>
      </c>
      <c r="C106" s="236"/>
      <c r="D106" s="237"/>
      <c r="E106" s="237"/>
      <c r="F106" s="238"/>
      <c r="G106" s="216"/>
      <c r="H106" s="216"/>
      <c r="I106" s="216"/>
      <c r="J106" s="217"/>
    </row>
    <row r="107" ht="13.4" customHeight="1" hidden="1">
      <c r="A107" s="218"/>
      <c r="B107" t="s" s="219">
        <v>1110</v>
      </c>
      <c r="C107" s="239"/>
      <c r="D107" s="240"/>
      <c r="E107" s="240"/>
      <c r="F107" s="241"/>
      <c r="G107" s="222"/>
      <c r="H107" s="222"/>
      <c r="I107" s="222"/>
      <c r="J107" s="223"/>
    </row>
    <row r="108" ht="13.4" customHeight="1" hidden="1">
      <c r="A108" s="232"/>
      <c r="B108" t="s" s="213">
        <v>1111</v>
      </c>
      <c r="C108" s="236"/>
      <c r="D108" s="237"/>
      <c r="E108" s="237"/>
      <c r="F108" s="238"/>
      <c r="G108" s="216"/>
      <c r="H108" s="216"/>
      <c r="I108" s="216"/>
      <c r="J108" s="217"/>
    </row>
    <row r="109" ht="13.4" customHeight="1" hidden="1">
      <c r="A109" s="218"/>
      <c r="B109" t="s" s="219">
        <v>1112</v>
      </c>
      <c r="C109" s="239"/>
      <c r="D109" s="240"/>
      <c r="E109" s="240"/>
      <c r="F109" s="241"/>
      <c r="G109" s="222"/>
      <c r="H109" s="222"/>
      <c r="I109" s="222"/>
      <c r="J109" s="223"/>
    </row>
    <row r="110" ht="13.4" customHeight="1" hidden="1">
      <c r="A110" s="224"/>
      <c r="B110" t="s" s="213">
        <v>1113</v>
      </c>
      <c r="C110" s="236"/>
      <c r="D110" s="237"/>
      <c r="E110" s="237"/>
      <c r="F110" s="238"/>
      <c r="G110" s="216"/>
      <c r="H110" s="216"/>
      <c r="I110" s="216"/>
      <c r="J110" s="217"/>
    </row>
    <row r="111" ht="13.4" customHeight="1" hidden="1">
      <c r="A111" s="243"/>
      <c r="B111" s="244"/>
      <c r="C111" s="245">
        <f>SUM(C99:C110)</f>
        <v>0</v>
      </c>
      <c r="D111" s="245">
        <f>SUM(D99:D110)</f>
        <v>0</v>
      </c>
      <c r="E111" s="245">
        <f>SUM(E99:E110)</f>
        <v>0</v>
      </c>
      <c r="F111" s="245">
        <f>SUM(F99:F110)</f>
        <v>0</v>
      </c>
      <c r="G111" s="246">
        <f>SUM(G99:G110)</f>
        <v>0</v>
      </c>
      <c r="H111" s="246">
        <f>SUM(H99:H110)</f>
        <v>0</v>
      </c>
      <c r="I111" s="246">
        <f>SUM(I99:I110)</f>
        <v>0</v>
      </c>
      <c r="J111" s="247">
        <f>SUM(J99:J110)</f>
        <v>0</v>
      </c>
    </row>
    <row r="113" ht="25.15" customHeight="1">
      <c r="K113" s="263">
        <v>43101</v>
      </c>
      <c r="L113" t="s" s="264">
        <v>1127</v>
      </c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</row>
    <row r="114" ht="25.15" customHeight="1">
      <c r="K114" s="266">
        <v>43132</v>
      </c>
      <c r="L114" t="s" s="267">
        <v>1072</v>
      </c>
      <c r="M114" s="268"/>
      <c r="N114" s="269"/>
      <c r="O114" s="270"/>
      <c r="P114" t="s" s="271">
        <v>1073</v>
      </c>
      <c r="Q114" s="269"/>
      <c r="R114" s="269"/>
      <c r="S114" s="270"/>
      <c r="T114" t="s" s="271">
        <v>1078</v>
      </c>
      <c r="U114" s="269"/>
      <c r="V114" s="269"/>
      <c r="W114" s="272"/>
    </row>
    <row r="115" ht="14.35" customHeight="1">
      <c r="K115" s="263">
        <v>43160</v>
      </c>
      <c r="L115" t="s" s="273">
        <v>1128</v>
      </c>
      <c r="M115" t="s" s="274">
        <v>5</v>
      </c>
      <c r="N115" t="s" s="274">
        <v>1129</v>
      </c>
      <c r="O115" t="s" s="275">
        <v>1130</v>
      </c>
      <c r="P115" t="s" s="276">
        <v>5</v>
      </c>
      <c r="Q115" t="s" s="274">
        <v>1131</v>
      </c>
      <c r="R115" t="s" s="274">
        <v>1129</v>
      </c>
      <c r="S115" t="s" s="275">
        <v>1130</v>
      </c>
      <c r="T115" t="s" s="276">
        <v>5</v>
      </c>
      <c r="U115" t="s" s="274">
        <v>1131</v>
      </c>
      <c r="V115" t="s" s="274">
        <v>1129</v>
      </c>
      <c r="W115" t="s" s="277">
        <v>1130</v>
      </c>
    </row>
    <row r="116" ht="14.65" customHeight="1">
      <c r="K116" s="266">
        <v>43191</v>
      </c>
      <c r="L116" s="278">
        <v>2010</v>
      </c>
      <c r="M116" s="279">
        <f>SUM(D4:D6)</f>
        <v>7874667</v>
      </c>
      <c r="N116" s="279">
        <f>M116/3</f>
        <v>2624889</v>
      </c>
      <c r="O116" s="280"/>
      <c r="P116" s="281">
        <f>SUM(F4:F6)</f>
        <v>478683</v>
      </c>
      <c r="Q116" s="282">
        <f>R116/N116</f>
        <v>0.06078771330901992</v>
      </c>
      <c r="R116" s="322">
        <f>P116/3</f>
        <v>159561</v>
      </c>
      <c r="S116" s="284"/>
      <c r="T116" s="285">
        <f>J7</f>
        <v>1406203.6</v>
      </c>
      <c r="U116" s="286">
        <f>V116/N116</f>
        <v>0.1785730875984978</v>
      </c>
      <c r="V116" s="279">
        <f>T116/3</f>
        <v>468734.5333333334</v>
      </c>
      <c r="W116" s="287"/>
    </row>
    <row r="117" ht="15" customHeight="1">
      <c r="K117" s="263">
        <v>43221</v>
      </c>
      <c r="L117" s="288">
        <v>2011</v>
      </c>
      <c r="M117" s="289">
        <f>SUM(D8:D19)</f>
        <v>74829016</v>
      </c>
      <c r="N117" s="289">
        <f>M117/12</f>
        <v>6235751.333333333</v>
      </c>
      <c r="O117" s="290">
        <f>N117/N116</f>
        <v>2.375624772450695</v>
      </c>
      <c r="P117" s="291">
        <f>SUM(F8:F19)</f>
        <v>26092600</v>
      </c>
      <c r="Q117" s="292">
        <f>R117/N117</f>
        <v>0.348696286477962</v>
      </c>
      <c r="R117" s="323">
        <f>P117/12</f>
        <v>2174383.333333333</v>
      </c>
      <c r="S117" s="290">
        <f>R117/R116</f>
        <v>13.62728569846851</v>
      </c>
      <c r="T117" s="294">
        <f>J20</f>
        <v>20898690.4</v>
      </c>
      <c r="U117" s="295">
        <f>V117/N117</f>
        <v>0.2792859176445672</v>
      </c>
      <c r="V117" s="289">
        <f>T117/12</f>
        <v>1741557.533333333</v>
      </c>
      <c r="W117" s="296">
        <f>V117/V116</f>
        <v>3.715445330960609</v>
      </c>
    </row>
    <row r="118" ht="15" customHeight="1">
      <c r="K118" s="266">
        <v>43252</v>
      </c>
      <c r="L118" s="297">
        <v>2012</v>
      </c>
      <c r="M118" s="222">
        <f>SUM(D21:D32)</f>
        <v>80137461.98799999</v>
      </c>
      <c r="N118" s="222">
        <f>M118/12</f>
        <v>6678121.832333333</v>
      </c>
      <c r="O118" s="298">
        <f>N118/N117</f>
        <v>1.070941010209195</v>
      </c>
      <c r="P118" s="299">
        <f>SUM(F21:F32)</f>
        <v>33621410.70110001</v>
      </c>
      <c r="Q118" s="300">
        <f>R118/N118</f>
        <v>0.4195467371568939</v>
      </c>
      <c r="R118" s="324">
        <f>P118/12</f>
        <v>2801784.225091667</v>
      </c>
      <c r="S118" s="298">
        <f>R118/R117</f>
        <v>1.288541988958555</v>
      </c>
      <c r="T118" s="301">
        <f>J33</f>
        <v>15535169.21586</v>
      </c>
      <c r="U118" s="302">
        <f>V118/N118</f>
        <v>0.1938565164215743</v>
      </c>
      <c r="V118" s="222">
        <f>T118/12</f>
        <v>1294597.434655</v>
      </c>
      <c r="W118" s="303">
        <f>V118/V117</f>
        <v>0.7433561107666345</v>
      </c>
    </row>
    <row r="119" ht="15" customHeight="1">
      <c r="K119" s="263">
        <v>43282</v>
      </c>
      <c r="L119" s="288">
        <v>2013</v>
      </c>
      <c r="M119" s="289">
        <f>SUM(D34:D45)</f>
        <v>81472958</v>
      </c>
      <c r="N119" s="289">
        <f>M119/12</f>
        <v>6789413.166666667</v>
      </c>
      <c r="O119" s="290">
        <f>N119/N118</f>
        <v>1.016665064987958</v>
      </c>
      <c r="P119" s="291">
        <f>SUM(F34:F45)</f>
        <v>50162292</v>
      </c>
      <c r="Q119" s="292">
        <f>R119/N119</f>
        <v>0.6156925344480557</v>
      </c>
      <c r="R119" s="323">
        <f>P119/12</f>
        <v>4180191</v>
      </c>
      <c r="S119" s="290">
        <f>R119/R118</f>
        <v>1.491974636220687</v>
      </c>
      <c r="T119" s="294">
        <f>J46</f>
        <v>21680059.4</v>
      </c>
      <c r="U119" s="295">
        <f>V119/N119</f>
        <v>0.2661012921612592</v>
      </c>
      <c r="V119" s="289">
        <f>T119/12</f>
        <v>1806671.616666667</v>
      </c>
      <c r="W119" s="296">
        <f>V119/V118</f>
        <v>1.395547039028492</v>
      </c>
    </row>
    <row r="120" ht="15" customHeight="1">
      <c r="K120" s="266">
        <v>43313</v>
      </c>
      <c r="L120" s="297">
        <v>2014</v>
      </c>
      <c r="M120" s="222">
        <f>SUM(D47:D58)</f>
        <v>90966043.9514</v>
      </c>
      <c r="N120" s="222">
        <f>M120/12</f>
        <v>7580503.662616666</v>
      </c>
      <c r="O120" s="298">
        <f>N120/N119</f>
        <v>1.116518243407831</v>
      </c>
      <c r="P120" s="299">
        <f>SUM(F47:F58)</f>
        <v>62397929.27939999</v>
      </c>
      <c r="Q120" s="300">
        <f>R120/N120</f>
        <v>0.6859474873144648</v>
      </c>
      <c r="R120" s="324">
        <f>P120/12</f>
        <v>5199827.43995</v>
      </c>
      <c r="S120" s="298">
        <f>R120/R119</f>
        <v>1.243921016994199</v>
      </c>
      <c r="T120" s="301">
        <f>J59</f>
        <v>33903249.1482</v>
      </c>
      <c r="U120" s="302">
        <f>V120/N120</f>
        <v>0.3727022488337882</v>
      </c>
      <c r="V120" s="222">
        <f>T120/12</f>
        <v>2825270.76235</v>
      </c>
      <c r="W120" s="303">
        <f>V120/V119</f>
        <v>1.5637987204131</v>
      </c>
    </row>
    <row r="121" ht="15" customHeight="1">
      <c r="K121" s="263">
        <v>43344</v>
      </c>
      <c r="L121" s="288">
        <v>2015</v>
      </c>
      <c r="M121" s="289">
        <f>SUM(D60:D71)</f>
        <v>89498626</v>
      </c>
      <c r="N121" s="289">
        <f>M121/12</f>
        <v>7458218.833333333</v>
      </c>
      <c r="O121" s="290">
        <f>N121/N120</f>
        <v>0.9838685086472048</v>
      </c>
      <c r="P121" s="291">
        <f>SUM(F60:F71)</f>
        <v>56444895</v>
      </c>
      <c r="Q121" s="292">
        <f>R121/N121</f>
        <v>0.6306789000313815</v>
      </c>
      <c r="R121" s="323">
        <f>P121/12</f>
        <v>4703741.25</v>
      </c>
      <c r="S121" s="290">
        <f>R121/R120</f>
        <v>0.9045956436672118</v>
      </c>
      <c r="T121" s="294">
        <f>J72</f>
        <v>29954734.4</v>
      </c>
      <c r="U121" s="295">
        <f>V121/N121</f>
        <v>0.3346949080536722</v>
      </c>
      <c r="V121" s="289">
        <f>T121/12</f>
        <v>2496227.866666667</v>
      </c>
      <c r="W121" s="296">
        <f>V121/V120</f>
        <v>0.8835358012165735</v>
      </c>
    </row>
    <row r="122" ht="15" customHeight="1">
      <c r="K122" s="266">
        <v>43374</v>
      </c>
      <c r="L122" s="297">
        <v>2016</v>
      </c>
      <c r="M122" s="222">
        <f>SUM(D73:D84)</f>
        <v>101490070</v>
      </c>
      <c r="N122" s="222">
        <f>M122/12</f>
        <v>8457505.833333334</v>
      </c>
      <c r="O122" s="298">
        <f>N122/N121</f>
        <v>1.133984671451828</v>
      </c>
      <c r="P122" s="299">
        <f>SUM(F73:F84)</f>
        <v>72022759</v>
      </c>
      <c r="Q122" s="300">
        <f>R122/N122</f>
        <v>0.7096532596735817</v>
      </c>
      <c r="R122" s="324">
        <f>P122/12</f>
        <v>6001896.583333333</v>
      </c>
      <c r="S122" s="298">
        <f>R122/R121</f>
        <v>1.275983576548419</v>
      </c>
      <c r="T122" s="301">
        <f>J85</f>
        <v>57162195.4</v>
      </c>
      <c r="U122" s="302">
        <f>V122/N122</f>
        <v>0.5632294410674856</v>
      </c>
      <c r="V122" s="222">
        <f>T122/12</f>
        <v>4763516.283333333</v>
      </c>
      <c r="W122" s="303">
        <f>V122/V121</f>
        <v>1.90828583677911</v>
      </c>
    </row>
    <row r="123" ht="15" customHeight="1">
      <c r="K123" s="263">
        <v>43405</v>
      </c>
      <c r="L123" s="288">
        <v>2017</v>
      </c>
      <c r="M123" s="289">
        <f>SUM(D86:D97)</f>
        <v>9660788</v>
      </c>
      <c r="N123" s="289">
        <f>M123/2</f>
        <v>4830394</v>
      </c>
      <c r="O123" s="290">
        <f>N123/M123</f>
        <v>0.5</v>
      </c>
      <c r="P123" s="291">
        <f>SUM(F86:F97)</f>
        <v>6729152</v>
      </c>
      <c r="Q123" s="292">
        <f>R123/N123</f>
        <v>0.6965427664906838</v>
      </c>
      <c r="R123" s="323">
        <f>P123/2</f>
        <v>3364576</v>
      </c>
      <c r="S123" s="290">
        <f>R123/R122</f>
        <v>0.56058546715768</v>
      </c>
      <c r="T123" s="294">
        <f>J98</f>
        <v>4446125.4</v>
      </c>
      <c r="U123" s="295">
        <f>V123/N123</f>
        <v>0.9204477729973994</v>
      </c>
      <c r="V123" s="289">
        <f>T123/1</f>
        <v>4446125.4</v>
      </c>
      <c r="W123" s="296">
        <f>V123/V122</f>
        <v>0.9333704632345176</v>
      </c>
    </row>
    <row r="124" ht="15.4" customHeight="1" hidden="1">
      <c r="K124" s="266">
        <v>43435</v>
      </c>
      <c r="L124" s="304">
        <v>2018</v>
      </c>
      <c r="M124" s="305">
        <f>SUM(D99:D110)</f>
        <v>0</v>
      </c>
      <c r="N124" s="305">
        <f>M124/12</f>
        <v>0</v>
      </c>
      <c r="O124" s="306">
        <f>N124/N123</f>
        <v>0</v>
      </c>
      <c r="P124" s="307">
        <f>SUM(F99:F110)</f>
        <v>0</v>
      </c>
      <c r="Q124" s="308"/>
      <c r="R124" s="309">
        <f>P124/12</f>
        <v>0</v>
      </c>
      <c r="S124" s="306">
        <f>R124/R123</f>
        <v>0</v>
      </c>
      <c r="T124" s="310">
        <f>SUM(I99:I110)</f>
        <v>0</v>
      </c>
      <c r="U124" s="305"/>
      <c r="V124" s="305">
        <f>T124/12</f>
        <v>0</v>
      </c>
      <c r="W124" s="311">
        <f>V124/V123</f>
        <v>0</v>
      </c>
    </row>
    <row r="126" ht="25" customHeight="1">
      <c r="X126" t="s" s="249">
        <v>1063</v>
      </c>
      <c r="Y126" s="250"/>
      <c r="Z126" s="250"/>
      <c r="AA126" s="250"/>
      <c r="AB126" s="250"/>
      <c r="AC126" s="250"/>
      <c r="AD126" s="250"/>
      <c r="AE126" s="251"/>
    </row>
    <row r="127" ht="15.5" customHeight="1">
      <c r="X127" s="252">
        <v>2011</v>
      </c>
      <c r="Y127" t="s" s="253">
        <v>1114</v>
      </c>
      <c r="Z127" t="s" s="253">
        <v>1115</v>
      </c>
      <c r="AA127" t="s" s="253">
        <v>1116</v>
      </c>
      <c r="AB127" t="s" s="253">
        <v>1117</v>
      </c>
      <c r="AC127" t="s" s="253">
        <v>1118</v>
      </c>
      <c r="AD127" s="254"/>
      <c r="AE127" t="s" s="255">
        <v>7</v>
      </c>
    </row>
    <row r="128" ht="15.5" customHeight="1">
      <c r="X128" s="256">
        <v>43101</v>
      </c>
      <c r="Y128" s="214">
        <v>622790</v>
      </c>
      <c r="Z128" s="214">
        <v>468083</v>
      </c>
      <c r="AA128" s="237"/>
      <c r="AB128" s="237"/>
      <c r="AC128" s="214"/>
      <c r="AD128" s="214"/>
      <c r="AE128" s="217">
        <f>SUM(Y128:AC128)</f>
        <v>1090873</v>
      </c>
    </row>
    <row r="129" ht="15" customHeight="1">
      <c r="X129" s="256">
        <v>43132</v>
      </c>
      <c r="Y129" s="214">
        <v>622790</v>
      </c>
      <c r="Z129" s="214">
        <v>468083</v>
      </c>
      <c r="AA129" s="237"/>
      <c r="AB129" s="237"/>
      <c r="AC129" s="214"/>
      <c r="AD129" s="214"/>
      <c r="AE129" s="217">
        <f>SUM(Y129:AC129)</f>
        <v>1090873</v>
      </c>
    </row>
    <row r="130" ht="15" customHeight="1">
      <c r="X130" s="256">
        <v>43160</v>
      </c>
      <c r="Y130" s="214">
        <v>622790</v>
      </c>
      <c r="Z130" s="214">
        <v>468083</v>
      </c>
      <c r="AA130" s="214">
        <v>296000</v>
      </c>
      <c r="AB130" s="214">
        <v>296000</v>
      </c>
      <c r="AC130" s="214"/>
      <c r="AD130" s="214"/>
      <c r="AE130" s="217">
        <f>SUM(Y130:AC130)</f>
        <v>1682873</v>
      </c>
    </row>
    <row r="131" ht="15.75" customHeight="1">
      <c r="X131" s="256">
        <v>43191</v>
      </c>
      <c r="Y131" s="214">
        <v>622790</v>
      </c>
      <c r="Z131" s="214">
        <v>468083</v>
      </c>
      <c r="AA131" s="214">
        <v>296000</v>
      </c>
      <c r="AB131" s="214">
        <v>296000</v>
      </c>
      <c r="AC131" s="214"/>
      <c r="AD131" s="214"/>
      <c r="AE131" s="217">
        <f>SUM(Y131:AC131)</f>
        <v>1682873</v>
      </c>
    </row>
    <row r="132" ht="15" customHeight="1">
      <c r="X132" s="256">
        <v>43221</v>
      </c>
      <c r="Y132" s="214">
        <v>622790</v>
      </c>
      <c r="Z132" s="214">
        <v>468083</v>
      </c>
      <c r="AA132" s="214">
        <v>296000</v>
      </c>
      <c r="AB132" s="214">
        <v>296000</v>
      </c>
      <c r="AC132" s="214"/>
      <c r="AD132" s="214"/>
      <c r="AE132" s="217">
        <f>SUM(Y132:AC132)</f>
        <v>1682873</v>
      </c>
    </row>
    <row r="133" ht="15" customHeight="1">
      <c r="X133" s="256">
        <v>43252</v>
      </c>
      <c r="Y133" s="214">
        <v>622790</v>
      </c>
      <c r="Z133" s="214">
        <v>468083</v>
      </c>
      <c r="AA133" s="214">
        <v>296000</v>
      </c>
      <c r="AB133" s="214">
        <v>296000</v>
      </c>
      <c r="AC133" s="214"/>
      <c r="AD133" s="214"/>
      <c r="AE133" s="217">
        <f>SUM(Y133:AC133)</f>
        <v>1682873</v>
      </c>
    </row>
    <row r="134" ht="15" customHeight="1">
      <c r="X134" s="256">
        <v>43282</v>
      </c>
      <c r="Y134" s="214">
        <v>622790</v>
      </c>
      <c r="Z134" s="214">
        <v>468083</v>
      </c>
      <c r="AA134" s="214">
        <v>296000</v>
      </c>
      <c r="AB134" s="214">
        <v>296000</v>
      </c>
      <c r="AC134" s="214"/>
      <c r="AD134" s="214"/>
      <c r="AE134" s="217">
        <f>SUM(Y134:AC134)</f>
        <v>1682873</v>
      </c>
    </row>
    <row r="135" ht="15" customHeight="1">
      <c r="X135" s="256">
        <v>43313</v>
      </c>
      <c r="Y135" s="214">
        <v>622790</v>
      </c>
      <c r="Z135" s="214">
        <v>468083</v>
      </c>
      <c r="AA135" s="214">
        <v>296000</v>
      </c>
      <c r="AB135" s="214">
        <v>296000</v>
      </c>
      <c r="AC135" s="214"/>
      <c r="AD135" s="214"/>
      <c r="AE135" s="217">
        <f>SUM(Y135:AC135)</f>
        <v>1682873</v>
      </c>
    </row>
    <row r="136" ht="15" customHeight="1">
      <c r="X136" s="256">
        <v>43344</v>
      </c>
      <c r="Y136" s="214">
        <v>622790</v>
      </c>
      <c r="Z136" s="214">
        <v>468083</v>
      </c>
      <c r="AA136" s="214">
        <v>296000</v>
      </c>
      <c r="AB136" s="214">
        <v>296000</v>
      </c>
      <c r="AC136" s="214"/>
      <c r="AD136" s="214"/>
      <c r="AE136" s="217">
        <f>SUM(Y136:AC136)</f>
        <v>1682873</v>
      </c>
    </row>
    <row r="137" ht="15" customHeight="1">
      <c r="X137" s="256">
        <v>43374</v>
      </c>
      <c r="Y137" s="214">
        <v>622790</v>
      </c>
      <c r="Z137" s="214">
        <v>468083</v>
      </c>
      <c r="AA137" s="214">
        <v>296000</v>
      </c>
      <c r="AB137" s="214">
        <v>296000</v>
      </c>
      <c r="AC137" s="214">
        <v>296000</v>
      </c>
      <c r="AD137" s="214"/>
      <c r="AE137" s="217">
        <f>SUM(Y137:AC137)</f>
        <v>1978873</v>
      </c>
    </row>
    <row r="138" ht="15" customHeight="1">
      <c r="X138" s="256">
        <v>43405</v>
      </c>
      <c r="Y138" s="214">
        <v>622790</v>
      </c>
      <c r="Z138" s="214">
        <v>468083</v>
      </c>
      <c r="AA138" s="214">
        <v>296000</v>
      </c>
      <c r="AB138" s="214">
        <v>296000</v>
      </c>
      <c r="AC138" s="214">
        <v>296000</v>
      </c>
      <c r="AD138" s="214"/>
      <c r="AE138" s="217">
        <f>SUM(Y138:AC138)</f>
        <v>1978873</v>
      </c>
    </row>
    <row r="139" ht="15.5" customHeight="1">
      <c r="X139" s="256">
        <v>43435</v>
      </c>
      <c r="Y139" s="214">
        <f>502790+137500</f>
        <v>640290</v>
      </c>
      <c r="Z139" s="214">
        <f>348083+137500</f>
        <v>485583</v>
      </c>
      <c r="AA139" s="214">
        <v>311000</v>
      </c>
      <c r="AB139" s="214">
        <v>311000</v>
      </c>
      <c r="AC139" s="214">
        <v>296000</v>
      </c>
      <c r="AD139" s="214"/>
      <c r="AE139" s="217">
        <f>SUM(Y139:AC139)</f>
        <v>2043873</v>
      </c>
    </row>
    <row r="140" ht="16" customHeight="1">
      <c r="X140" s="257">
        <v>2012</v>
      </c>
      <c r="Y140" t="s" s="234">
        <v>1114</v>
      </c>
      <c r="Z140" t="s" s="234">
        <v>1115</v>
      </c>
      <c r="AA140" t="s" s="234">
        <v>1116</v>
      </c>
      <c r="AB140" t="s" s="234">
        <v>1117</v>
      </c>
      <c r="AC140" t="s" s="234">
        <v>1118</v>
      </c>
      <c r="AD140" s="226"/>
      <c r="AE140" t="s" s="258">
        <v>7</v>
      </c>
    </row>
    <row r="141" ht="15.5" customHeight="1">
      <c r="X141" s="256">
        <v>43101</v>
      </c>
      <c r="Y141" s="214">
        <f t="shared" si="775" ref="Y141:Y152">502790+230030</f>
        <v>732820</v>
      </c>
      <c r="Z141" s="214">
        <f t="shared" si="776" ref="Z141:Z145">348083+153099</f>
        <v>501182</v>
      </c>
      <c r="AA141" s="214">
        <f t="shared" si="777" ref="AA141:AA143">225000+101192</f>
        <v>326192</v>
      </c>
      <c r="AB141" s="214">
        <f t="shared" si="778" ref="AB141:AB147">225000+71417</f>
        <v>296417</v>
      </c>
      <c r="AC141" s="214">
        <f t="shared" si="779" ref="AC141:AC146">225000+71012</f>
        <v>296012</v>
      </c>
      <c r="AD141" s="214"/>
      <c r="AE141" s="217">
        <f>SUM(Y141:AC141)</f>
        <v>2152623</v>
      </c>
    </row>
    <row r="142" ht="15" customHeight="1">
      <c r="X142" s="256">
        <v>43132</v>
      </c>
      <c r="Y142" s="214">
        <f t="shared" si="775"/>
        <v>732820</v>
      </c>
      <c r="Z142" s="214">
        <f t="shared" si="776"/>
        <v>501182</v>
      </c>
      <c r="AA142" s="214">
        <f t="shared" si="777"/>
        <v>326192</v>
      </c>
      <c r="AB142" s="214">
        <f t="shared" si="778"/>
        <v>296417</v>
      </c>
      <c r="AC142" s="214">
        <f t="shared" si="779"/>
        <v>296012</v>
      </c>
      <c r="AD142" s="214"/>
      <c r="AE142" s="217">
        <f>SUM(Y142:AC142)</f>
        <v>2152623</v>
      </c>
    </row>
    <row r="143" ht="15" customHeight="1">
      <c r="X143" s="256">
        <v>43160</v>
      </c>
      <c r="Y143" s="214">
        <f t="shared" si="775"/>
        <v>732820</v>
      </c>
      <c r="Z143" s="214">
        <f t="shared" si="776"/>
        <v>501182</v>
      </c>
      <c r="AA143" s="214">
        <f t="shared" si="777"/>
        <v>326192</v>
      </c>
      <c r="AB143" s="214">
        <f>172500+55443</f>
        <v>227943</v>
      </c>
      <c r="AC143" s="214">
        <f t="shared" si="779"/>
        <v>296012</v>
      </c>
      <c r="AD143" s="214"/>
      <c r="AE143" s="217">
        <f>SUM(Y143:AC143)</f>
        <v>2084149</v>
      </c>
    </row>
    <row r="144" ht="15" customHeight="1">
      <c r="X144" s="256">
        <v>43191</v>
      </c>
      <c r="Y144" s="214">
        <f t="shared" si="775"/>
        <v>732820</v>
      </c>
      <c r="Z144" s="214">
        <f t="shared" si="776"/>
        <v>501182</v>
      </c>
      <c r="AA144" s="237"/>
      <c r="AB144" s="214">
        <f t="shared" si="778"/>
        <v>296417</v>
      </c>
      <c r="AC144" s="214">
        <f t="shared" si="779"/>
        <v>296012</v>
      </c>
      <c r="AD144" s="214"/>
      <c r="AE144" s="217">
        <f>SUM(Y144:AC144)</f>
        <v>1826431</v>
      </c>
    </row>
    <row r="145" ht="15" customHeight="1">
      <c r="X145" s="256">
        <v>43221</v>
      </c>
      <c r="Y145" s="214">
        <f t="shared" si="775"/>
        <v>732820</v>
      </c>
      <c r="Z145" s="214">
        <f t="shared" si="776"/>
        <v>501182</v>
      </c>
      <c r="AA145" s="237"/>
      <c r="AB145" s="214">
        <f t="shared" si="778"/>
        <v>296417</v>
      </c>
      <c r="AC145" s="214">
        <f t="shared" si="779"/>
        <v>296012</v>
      </c>
      <c r="AD145" s="214"/>
      <c r="AE145" s="217">
        <f>SUM(Y145:AC145)</f>
        <v>1826431</v>
      </c>
    </row>
    <row r="146" ht="15" customHeight="1">
      <c r="X146" s="256">
        <v>43252</v>
      </c>
      <c r="Y146" s="214">
        <f t="shared" si="775"/>
        <v>732820</v>
      </c>
      <c r="Z146" s="214">
        <f t="shared" si="804" ref="Z146:Z147">348083+163099</f>
        <v>511182</v>
      </c>
      <c r="AA146" s="237"/>
      <c r="AB146" s="214">
        <f t="shared" si="778"/>
        <v>296417</v>
      </c>
      <c r="AC146" s="214">
        <f t="shared" si="779"/>
        <v>296012</v>
      </c>
      <c r="AD146" s="214"/>
      <c r="AE146" s="217">
        <f>SUM(Y146:AC146)</f>
        <v>1836431</v>
      </c>
    </row>
    <row r="147" ht="15" customHeight="1">
      <c r="X147" s="256">
        <v>43282</v>
      </c>
      <c r="Y147" s="214">
        <f t="shared" si="775"/>
        <v>732820</v>
      </c>
      <c r="Z147" s="214">
        <f t="shared" si="804"/>
        <v>511182</v>
      </c>
      <c r="AA147" s="237"/>
      <c r="AB147" s="214">
        <f t="shared" si="778"/>
        <v>296417</v>
      </c>
      <c r="AC147" s="214">
        <f>225000+35500</f>
        <v>260500</v>
      </c>
      <c r="AD147" s="214"/>
      <c r="AE147" s="217">
        <f>SUM(Y147:AC147)</f>
        <v>1800919</v>
      </c>
    </row>
    <row r="148" ht="15" customHeight="1">
      <c r="X148" s="256">
        <v>43313</v>
      </c>
      <c r="Y148" s="214">
        <f t="shared" si="775"/>
        <v>732820</v>
      </c>
      <c r="Z148" s="214">
        <f t="shared" si="814" ref="Z148:Z152">348083+173099</f>
        <v>521182</v>
      </c>
      <c r="AA148" s="214">
        <f t="shared" si="815" ref="AA148:AA155">225000+121192</f>
        <v>346192</v>
      </c>
      <c r="AB148" s="214">
        <f>225000+96417</f>
        <v>321417</v>
      </c>
      <c r="AC148" s="214"/>
      <c r="AD148" s="214"/>
      <c r="AE148" s="217">
        <f>SUM(Y148:AC148)</f>
        <v>1921611</v>
      </c>
    </row>
    <row r="149" ht="15" customHeight="1">
      <c r="X149" s="256">
        <v>43344</v>
      </c>
      <c r="Y149" s="214">
        <f t="shared" si="775"/>
        <v>732820</v>
      </c>
      <c r="Z149" s="214">
        <f t="shared" si="814"/>
        <v>521182</v>
      </c>
      <c r="AA149" s="214">
        <f t="shared" si="815"/>
        <v>346192</v>
      </c>
      <c r="AB149" s="214">
        <f t="shared" si="821" ref="AB149:AB155">225000+121417</f>
        <v>346417</v>
      </c>
      <c r="AC149" s="214"/>
      <c r="AD149" s="214"/>
      <c r="AE149" s="217">
        <f>SUM(Y149:AC149)</f>
        <v>1946611</v>
      </c>
    </row>
    <row r="150" ht="15" customHeight="1">
      <c r="X150" s="256">
        <v>43374</v>
      </c>
      <c r="Y150" s="214">
        <f t="shared" si="775"/>
        <v>732820</v>
      </c>
      <c r="Z150" s="214">
        <f t="shared" si="814"/>
        <v>521182</v>
      </c>
      <c r="AA150" s="214">
        <f t="shared" si="815"/>
        <v>346192</v>
      </c>
      <c r="AB150" s="214">
        <f t="shared" si="821"/>
        <v>346417</v>
      </c>
      <c r="AC150" s="214"/>
      <c r="AD150" s="214"/>
      <c r="AE150" s="217">
        <f>SUM(Y150:AC150)</f>
        <v>1946611</v>
      </c>
    </row>
    <row r="151" ht="15" customHeight="1">
      <c r="X151" s="256">
        <v>43405</v>
      </c>
      <c r="Y151" s="214">
        <f t="shared" si="775"/>
        <v>732820</v>
      </c>
      <c r="Z151" s="214">
        <f t="shared" si="814"/>
        <v>521182</v>
      </c>
      <c r="AA151" s="214">
        <f t="shared" si="815"/>
        <v>346192</v>
      </c>
      <c r="AB151" s="214">
        <f t="shared" si="821"/>
        <v>346417</v>
      </c>
      <c r="AC151" s="214"/>
      <c r="AD151" s="214"/>
      <c r="AE151" s="217">
        <f>SUM(Y151:AC151)</f>
        <v>1946611</v>
      </c>
    </row>
    <row r="152" ht="15.5" customHeight="1">
      <c r="X152" s="256">
        <v>43435</v>
      </c>
      <c r="Y152" s="214">
        <f t="shared" si="775"/>
        <v>732820</v>
      </c>
      <c r="Z152" s="214">
        <f t="shared" si="814"/>
        <v>521182</v>
      </c>
      <c r="AA152" s="214">
        <f t="shared" si="815"/>
        <v>346192</v>
      </c>
      <c r="AB152" s="214">
        <f t="shared" si="821"/>
        <v>346417</v>
      </c>
      <c r="AC152" s="214"/>
      <c r="AD152" s="214"/>
      <c r="AE152" s="217">
        <f>SUM(Y152:AC152)</f>
        <v>1946611</v>
      </c>
    </row>
    <row r="153" ht="16" customHeight="1">
      <c r="X153" s="257">
        <v>2013</v>
      </c>
      <c r="Y153" t="s" s="234">
        <v>1114</v>
      </c>
      <c r="Z153" t="s" s="234">
        <v>1115</v>
      </c>
      <c r="AA153" t="s" s="234">
        <v>1116</v>
      </c>
      <c r="AB153" t="s" s="234">
        <v>1117</v>
      </c>
      <c r="AC153" t="s" s="234">
        <v>1119</v>
      </c>
      <c r="AD153" s="226"/>
      <c r="AE153" t="s" s="258">
        <v>7</v>
      </c>
    </row>
    <row r="154" ht="15.5" customHeight="1">
      <c r="X154" s="256">
        <v>43101</v>
      </c>
      <c r="Y154" s="214">
        <f t="shared" si="838" ref="Y154:Y167">502790+280030</f>
        <v>782820</v>
      </c>
      <c r="Z154" s="214">
        <f t="shared" si="839" ref="Z154:Z164">348083+223099</f>
        <v>571182</v>
      </c>
      <c r="AA154" s="214">
        <f t="shared" si="815"/>
        <v>346192</v>
      </c>
      <c r="AB154" s="214">
        <f t="shared" si="821"/>
        <v>346417</v>
      </c>
      <c r="AC154" s="214"/>
      <c r="AD154" s="214"/>
      <c r="AE154" s="217">
        <f>SUM(Y154:AC154)</f>
        <v>2046611</v>
      </c>
    </row>
    <row r="155" ht="15" customHeight="1">
      <c r="X155" s="256">
        <v>43132</v>
      </c>
      <c r="Y155" s="214">
        <f t="shared" si="838"/>
        <v>782820</v>
      </c>
      <c r="Z155" s="214">
        <f t="shared" si="839"/>
        <v>571182</v>
      </c>
      <c r="AA155" s="214">
        <f t="shared" si="815"/>
        <v>346192</v>
      </c>
      <c r="AB155" s="214">
        <f t="shared" si="821"/>
        <v>346417</v>
      </c>
      <c r="AC155" s="214"/>
      <c r="AD155" s="214"/>
      <c r="AE155" s="217">
        <f>SUM(Y155:AC155)</f>
        <v>2046611</v>
      </c>
    </row>
    <row r="156" ht="15" customHeight="1">
      <c r="X156" s="256">
        <v>43160</v>
      </c>
      <c r="Y156" s="214">
        <f t="shared" si="838"/>
        <v>782820</v>
      </c>
      <c r="Z156" s="214">
        <f t="shared" si="839"/>
        <v>571182</v>
      </c>
      <c r="AA156" s="214">
        <f t="shared" si="850" ref="AA156:AA165">225000+136192</f>
        <v>361192</v>
      </c>
      <c r="AB156" s="214">
        <f t="shared" si="851" ref="AB156:AB163">225000+151417</f>
        <v>376417</v>
      </c>
      <c r="AC156" s="214"/>
      <c r="AD156" s="214"/>
      <c r="AE156" s="217">
        <f>SUM(Y156:AC156)</f>
        <v>2091611</v>
      </c>
    </row>
    <row r="157" ht="15" customHeight="1">
      <c r="X157" s="256">
        <v>43191</v>
      </c>
      <c r="Y157" s="214">
        <f t="shared" si="838"/>
        <v>782820</v>
      </c>
      <c r="Z157" s="214">
        <f t="shared" si="839"/>
        <v>571182</v>
      </c>
      <c r="AA157" s="214">
        <f t="shared" si="850"/>
        <v>361192</v>
      </c>
      <c r="AB157" s="214">
        <f t="shared" si="851"/>
        <v>376417</v>
      </c>
      <c r="AC157" s="214"/>
      <c r="AD157" s="214"/>
      <c r="AE157" s="217">
        <f>SUM(Y157:AC157)</f>
        <v>2091611</v>
      </c>
    </row>
    <row r="158" ht="15" customHeight="1">
      <c r="X158" s="256">
        <v>43221</v>
      </c>
      <c r="Y158" s="214">
        <f t="shared" si="838"/>
        <v>782820</v>
      </c>
      <c r="Z158" s="214">
        <f t="shared" si="839"/>
        <v>571182</v>
      </c>
      <c r="AA158" s="214">
        <f t="shared" si="850"/>
        <v>361192</v>
      </c>
      <c r="AB158" s="214">
        <f t="shared" si="851"/>
        <v>376417</v>
      </c>
      <c r="AC158" s="214"/>
      <c r="AD158" s="214"/>
      <c r="AE158" s="217">
        <f>SUM(Y158:AC158)</f>
        <v>2091611</v>
      </c>
    </row>
    <row r="159" ht="15" customHeight="1">
      <c r="X159" s="256">
        <v>43252</v>
      </c>
      <c r="Y159" s="214">
        <f t="shared" si="838"/>
        <v>782820</v>
      </c>
      <c r="Z159" s="214">
        <f t="shared" si="839"/>
        <v>571182</v>
      </c>
      <c r="AA159" s="214">
        <f t="shared" si="850"/>
        <v>361192</v>
      </c>
      <c r="AB159" s="214">
        <f t="shared" si="851"/>
        <v>376417</v>
      </c>
      <c r="AC159" s="214"/>
      <c r="AD159" s="214"/>
      <c r="AE159" s="217">
        <f>SUM(Y159:AC159)</f>
        <v>2091611</v>
      </c>
    </row>
    <row r="160" ht="15" customHeight="1">
      <c r="X160" s="256">
        <v>43282</v>
      </c>
      <c r="Y160" s="214">
        <f t="shared" si="838"/>
        <v>782820</v>
      </c>
      <c r="Z160" s="214">
        <f t="shared" si="839"/>
        <v>571182</v>
      </c>
      <c r="AA160" s="214">
        <f t="shared" si="850"/>
        <v>361192</v>
      </c>
      <c r="AB160" s="214">
        <f t="shared" si="851"/>
        <v>376417</v>
      </c>
      <c r="AC160" s="214"/>
      <c r="AD160" s="214"/>
      <c r="AE160" s="217">
        <f>SUM(Y160:AC160)</f>
        <v>2091611</v>
      </c>
    </row>
    <row r="161" ht="15" customHeight="1">
      <c r="X161" s="256">
        <v>43313</v>
      </c>
      <c r="Y161" s="214">
        <f t="shared" si="838"/>
        <v>782820</v>
      </c>
      <c r="Z161" s="214">
        <f t="shared" si="839"/>
        <v>571182</v>
      </c>
      <c r="AA161" s="214">
        <f t="shared" si="850"/>
        <v>361192</v>
      </c>
      <c r="AB161" s="214">
        <f t="shared" si="851"/>
        <v>376417</v>
      </c>
      <c r="AC161" s="214"/>
      <c r="AD161" s="214"/>
      <c r="AE161" s="217">
        <f>SUM(Y161:AC161)</f>
        <v>2091611</v>
      </c>
    </row>
    <row r="162" ht="15" customHeight="1">
      <c r="X162" s="256">
        <v>43344</v>
      </c>
      <c r="Y162" s="214">
        <f t="shared" si="838"/>
        <v>782820</v>
      </c>
      <c r="Z162" s="214">
        <f t="shared" si="839"/>
        <v>571182</v>
      </c>
      <c r="AA162" s="214">
        <f t="shared" si="850"/>
        <v>361192</v>
      </c>
      <c r="AB162" s="214">
        <f t="shared" si="851"/>
        <v>376417</v>
      </c>
      <c r="AC162" s="214"/>
      <c r="AD162" s="214"/>
      <c r="AE162" s="217">
        <f>SUM(Y162:AC162)</f>
        <v>2091611</v>
      </c>
    </row>
    <row r="163" ht="15" customHeight="1">
      <c r="X163" s="256">
        <v>43374</v>
      </c>
      <c r="Y163" s="214">
        <f t="shared" si="838"/>
        <v>782820</v>
      </c>
      <c r="Z163" s="214">
        <f t="shared" si="839"/>
        <v>571182</v>
      </c>
      <c r="AA163" s="214">
        <f t="shared" si="850"/>
        <v>361192</v>
      </c>
      <c r="AB163" s="214">
        <f t="shared" si="851"/>
        <v>376417</v>
      </c>
      <c r="AC163" s="214"/>
      <c r="AD163" s="214"/>
      <c r="AE163" s="217">
        <f>SUM(Y163:AC163)</f>
        <v>2091611</v>
      </c>
    </row>
    <row r="164" ht="15" customHeight="1">
      <c r="X164" s="256">
        <v>43405</v>
      </c>
      <c r="Y164" s="214">
        <f t="shared" si="838"/>
        <v>782820</v>
      </c>
      <c r="Z164" s="214">
        <f t="shared" si="839"/>
        <v>571182</v>
      </c>
      <c r="AA164" s="214">
        <f t="shared" si="850"/>
        <v>361192</v>
      </c>
      <c r="AB164" s="237"/>
      <c r="AC164" s="214">
        <f t="shared" si="891" ref="AC164:AC165">210000+40000</f>
        <v>250000</v>
      </c>
      <c r="AD164" s="214"/>
      <c r="AE164" s="217">
        <f>SUM(Y164:AC164)</f>
        <v>1965194</v>
      </c>
    </row>
    <row r="165" ht="15.5" customHeight="1">
      <c r="X165" s="256">
        <v>43435</v>
      </c>
      <c r="Y165" s="214">
        <f t="shared" si="838"/>
        <v>782820</v>
      </c>
      <c r="Z165" s="214">
        <f>348083+273100</f>
        <v>621183</v>
      </c>
      <c r="AA165" s="214">
        <f t="shared" si="850"/>
        <v>361192</v>
      </c>
      <c r="AB165" s="237"/>
      <c r="AC165" s="214">
        <f t="shared" si="891"/>
        <v>250000</v>
      </c>
      <c r="AD165" s="214"/>
      <c r="AE165" s="217">
        <f>SUM(Y165:AC165)</f>
        <v>2015195</v>
      </c>
    </row>
    <row r="166" ht="16" customHeight="1">
      <c r="X166" s="257">
        <v>2014</v>
      </c>
      <c r="Y166" t="s" s="234">
        <v>1114</v>
      </c>
      <c r="Z166" t="s" s="234">
        <v>1115</v>
      </c>
      <c r="AA166" t="s" s="234">
        <v>1116</v>
      </c>
      <c r="AB166" t="s" s="234">
        <v>1120</v>
      </c>
      <c r="AC166" t="s" s="234">
        <v>1119</v>
      </c>
      <c r="AD166" t="s" s="234">
        <v>1121</v>
      </c>
      <c r="AE166" t="s" s="258">
        <v>7</v>
      </c>
    </row>
    <row r="167" ht="15.5" customHeight="1">
      <c r="X167" s="256">
        <v>43101</v>
      </c>
      <c r="Y167" s="214">
        <f t="shared" si="838"/>
        <v>782820</v>
      </c>
      <c r="Z167" s="214">
        <v>615683</v>
      </c>
      <c r="AA167" s="214">
        <f>225000+132840</f>
        <v>357840</v>
      </c>
      <c r="AB167" s="237"/>
      <c r="AC167" s="214"/>
      <c r="AD167" s="214">
        <v>0</v>
      </c>
      <c r="AE167" s="217">
        <f>SUM(Y167:AD167)</f>
        <v>1756343</v>
      </c>
    </row>
    <row r="168" ht="15" customHeight="1">
      <c r="X168" s="256">
        <v>43132</v>
      </c>
      <c r="Y168" s="237"/>
      <c r="Z168" s="214">
        <v>615683</v>
      </c>
      <c r="AA168" s="214">
        <v>357840</v>
      </c>
      <c r="AB168" s="214">
        <v>465000</v>
      </c>
      <c r="AC168" s="214">
        <v>278833</v>
      </c>
      <c r="AD168" s="237"/>
      <c r="AE168" s="217">
        <f>SUM(Y168:AD168)</f>
        <v>1717356</v>
      </c>
    </row>
    <row r="169" ht="15" customHeight="1">
      <c r="X169" s="256">
        <v>43160</v>
      </c>
      <c r="Y169" s="237"/>
      <c r="Z169" s="214">
        <v>616045</v>
      </c>
      <c r="AA169" s="214">
        <v>357840</v>
      </c>
      <c r="AB169" s="214">
        <v>458150</v>
      </c>
      <c r="AC169" s="214">
        <v>283150</v>
      </c>
      <c r="AD169" s="237"/>
      <c r="AE169" s="217">
        <f>SUM(Y169:AD169)</f>
        <v>1715185</v>
      </c>
    </row>
    <row r="170" ht="15" customHeight="1">
      <c r="X170" s="256">
        <v>43191</v>
      </c>
      <c r="Y170" s="237"/>
      <c r="Z170" s="214">
        <v>616045</v>
      </c>
      <c r="AA170" s="214">
        <v>357840</v>
      </c>
      <c r="AB170" s="214">
        <v>458150</v>
      </c>
      <c r="AC170" s="214">
        <v>272533</v>
      </c>
      <c r="AD170" s="214">
        <v>319550</v>
      </c>
      <c r="AE170" s="217">
        <f>SUM(Y170:AD170)</f>
        <v>2024118</v>
      </c>
    </row>
    <row r="171" ht="15" customHeight="1">
      <c r="X171" s="256">
        <v>43221</v>
      </c>
      <c r="Y171" s="237"/>
      <c r="Z171" s="214">
        <v>677839</v>
      </c>
      <c r="AA171" s="214">
        <v>357840</v>
      </c>
      <c r="AB171" s="214">
        <v>511900</v>
      </c>
      <c r="AC171" s="214">
        <v>233450</v>
      </c>
      <c r="AD171" s="214">
        <v>319550</v>
      </c>
      <c r="AE171" s="217">
        <f>SUM(Y171:AD171)</f>
        <v>2100579</v>
      </c>
    </row>
    <row r="172" ht="15" customHeight="1">
      <c r="X172" s="256">
        <v>43252</v>
      </c>
      <c r="Y172" s="237"/>
      <c r="Z172" s="214">
        <v>616045</v>
      </c>
      <c r="AA172" s="214">
        <v>357840</v>
      </c>
      <c r="AB172" s="214">
        <v>458150</v>
      </c>
      <c r="AC172" s="214">
        <v>263550</v>
      </c>
      <c r="AD172" s="214">
        <v>348311</v>
      </c>
      <c r="AE172" s="217">
        <f>SUM(Y172:AD172)</f>
        <v>2043896</v>
      </c>
    </row>
    <row r="173" ht="15" customHeight="1">
      <c r="X173" s="256">
        <v>43282</v>
      </c>
      <c r="Y173" s="237"/>
      <c r="Z173" s="214">
        <v>616045</v>
      </c>
      <c r="AA173" s="214">
        <v>357840</v>
      </c>
      <c r="AB173" s="214">
        <v>458150</v>
      </c>
      <c r="AC173" s="214">
        <v>286500</v>
      </c>
      <c r="AD173" s="214">
        <v>333327</v>
      </c>
      <c r="AE173" s="217">
        <f>SUM(Y173:AD173)</f>
        <v>2051862</v>
      </c>
    </row>
    <row r="174" ht="15" customHeight="1">
      <c r="X174" s="256">
        <v>43313</v>
      </c>
      <c r="Y174" s="237"/>
      <c r="Z174" s="214">
        <v>616045</v>
      </c>
      <c r="AA174" s="214">
        <v>357840</v>
      </c>
      <c r="AB174" s="214">
        <v>458150</v>
      </c>
      <c r="AC174" s="214">
        <v>281250</v>
      </c>
      <c r="AD174" s="214">
        <v>327009</v>
      </c>
      <c r="AE174" s="217">
        <f>SUM(Y174:AD174)</f>
        <v>2040294</v>
      </c>
    </row>
    <row r="175" ht="15" customHeight="1">
      <c r="X175" s="256">
        <v>43344</v>
      </c>
      <c r="Y175" s="237"/>
      <c r="Z175" s="214">
        <v>616045</v>
      </c>
      <c r="AA175" s="214">
        <v>357840</v>
      </c>
      <c r="AB175" s="214">
        <v>458150</v>
      </c>
      <c r="AC175" s="214">
        <v>295250</v>
      </c>
      <c r="AD175" s="214">
        <v>343856</v>
      </c>
      <c r="AE175" s="217">
        <f>SUM(Y175:AD175)</f>
        <v>2071141</v>
      </c>
    </row>
    <row r="176" ht="15" customHeight="1">
      <c r="X176" s="256">
        <v>43374</v>
      </c>
      <c r="Y176" s="237"/>
      <c r="Z176" s="214">
        <v>616045</v>
      </c>
      <c r="AA176" s="214">
        <v>357840</v>
      </c>
      <c r="AB176" s="214">
        <v>458150</v>
      </c>
      <c r="AC176" s="214">
        <v>305750</v>
      </c>
      <c r="AD176" s="214">
        <v>360703</v>
      </c>
      <c r="AE176" s="217">
        <f>SUM(Y176:AD176)</f>
        <v>2098488</v>
      </c>
    </row>
    <row r="177" ht="15" customHeight="1">
      <c r="X177" s="256">
        <v>43405</v>
      </c>
      <c r="Y177" s="237"/>
      <c r="Z177" s="214">
        <v>616045</v>
      </c>
      <c r="AA177" s="214">
        <v>357840</v>
      </c>
      <c r="AB177" s="214">
        <v>458150</v>
      </c>
      <c r="AC177" s="214">
        <v>281250</v>
      </c>
      <c r="AD177" s="214">
        <v>327009</v>
      </c>
      <c r="AE177" s="217">
        <f>SUM(Y177:AD177)</f>
        <v>2040294</v>
      </c>
    </row>
    <row r="178" ht="15.5" customHeight="1">
      <c r="X178" s="256">
        <v>43435</v>
      </c>
      <c r="Y178" s="237"/>
      <c r="Z178" s="214">
        <v>616045</v>
      </c>
      <c r="AA178" s="214">
        <v>357840</v>
      </c>
      <c r="AB178" s="214">
        <v>458150</v>
      </c>
      <c r="AC178" s="214">
        <v>290688</v>
      </c>
      <c r="AD178" s="214">
        <v>349647</v>
      </c>
      <c r="AE178" s="217">
        <f>SUM(Y178:AD178)</f>
        <v>2072370</v>
      </c>
    </row>
    <row r="179" ht="16" customHeight="1">
      <c r="X179" s="257">
        <v>2015</v>
      </c>
      <c r="Y179" t="s" s="234">
        <v>1115</v>
      </c>
      <c r="Z179" t="s" s="234">
        <v>1120</v>
      </c>
      <c r="AA179" t="s" s="234">
        <v>1119</v>
      </c>
      <c r="AB179" t="s" s="234">
        <v>1121</v>
      </c>
      <c r="AC179" t="s" s="234">
        <v>1122</v>
      </c>
      <c r="AD179" t="s" s="234">
        <v>1123</v>
      </c>
      <c r="AE179" t="s" s="258">
        <v>7</v>
      </c>
    </row>
    <row r="180" ht="15.5" customHeight="1">
      <c r="X180" s="256">
        <v>43101</v>
      </c>
      <c r="Y180" s="214">
        <v>812653</v>
      </c>
      <c r="Z180" s="214">
        <v>553123</v>
      </c>
      <c r="AA180" s="214">
        <v>321425</v>
      </c>
      <c r="AB180" s="214">
        <v>326267</v>
      </c>
      <c r="AC180" s="214">
        <v>63125</v>
      </c>
      <c r="AD180" s="237"/>
      <c r="AE180" s="217">
        <f>SUM(Y180:AD180)</f>
        <v>2076593</v>
      </c>
    </row>
    <row r="181" ht="15" customHeight="1">
      <c r="X181" s="256">
        <v>43132</v>
      </c>
      <c r="Y181" s="214">
        <v>745478</v>
      </c>
      <c r="Z181" s="214">
        <v>538320</v>
      </c>
      <c r="AA181" s="214">
        <v>314075</v>
      </c>
      <c r="AB181" s="214">
        <v>348068</v>
      </c>
      <c r="AC181" s="214">
        <v>342325</v>
      </c>
      <c r="AD181" s="237"/>
      <c r="AE181" s="217">
        <f>SUM(Y181:AD181)</f>
        <v>2288266</v>
      </c>
    </row>
    <row r="182" ht="15" customHeight="1">
      <c r="X182" s="256">
        <v>43160</v>
      </c>
      <c r="Y182" s="214">
        <v>743563</v>
      </c>
      <c r="Z182" s="214">
        <v>534785</v>
      </c>
      <c r="AA182" s="214">
        <v>333763</v>
      </c>
      <c r="AB182" s="214">
        <v>343856</v>
      </c>
      <c r="AC182" s="214">
        <v>339996</v>
      </c>
      <c r="AD182" s="237"/>
      <c r="AE182" s="217">
        <f>SUM(Y182:AD182)</f>
        <v>2295963</v>
      </c>
    </row>
    <row r="183" ht="15" customHeight="1">
      <c r="X183" s="256">
        <v>43191</v>
      </c>
      <c r="Y183" s="214">
        <v>747230</v>
      </c>
      <c r="Z183" s="214">
        <v>468208</v>
      </c>
      <c r="AA183" s="214">
        <v>333763</v>
      </c>
      <c r="AB183" s="214">
        <v>338406</v>
      </c>
      <c r="AC183" s="214">
        <v>323919</v>
      </c>
      <c r="AD183" s="237"/>
      <c r="AE183" s="217">
        <f>SUM(Y183:AD183)</f>
        <v>2211526</v>
      </c>
    </row>
    <row r="184" ht="15" customHeight="1">
      <c r="X184" s="256">
        <v>43221</v>
      </c>
      <c r="Y184" s="214">
        <v>836507</v>
      </c>
      <c r="Z184" s="214">
        <v>545182</v>
      </c>
      <c r="AA184" s="214">
        <v>365457</v>
      </c>
      <c r="AB184" s="214">
        <v>384304</v>
      </c>
      <c r="AC184" s="214">
        <v>327796</v>
      </c>
      <c r="AD184" s="237"/>
      <c r="AE184" s="217">
        <f>SUM(Y184:AD184)</f>
        <v>2459246</v>
      </c>
    </row>
    <row r="185" ht="15" customHeight="1">
      <c r="X185" s="256">
        <v>43252</v>
      </c>
      <c r="Y185" s="214">
        <v>713082</v>
      </c>
      <c r="Z185" s="214">
        <v>539941</v>
      </c>
      <c r="AA185" s="214">
        <v>339752</v>
      </c>
      <c r="AB185" s="214">
        <v>323522</v>
      </c>
      <c r="AC185" s="214">
        <v>100392</v>
      </c>
      <c r="AD185" s="237"/>
      <c r="AE185" s="217">
        <f>SUM(Y185:AD185)</f>
        <v>2016689</v>
      </c>
    </row>
    <row r="186" ht="15" customHeight="1">
      <c r="X186" s="256">
        <v>43282</v>
      </c>
      <c r="Y186" s="214">
        <v>734446</v>
      </c>
      <c r="Z186" s="214">
        <v>514267</v>
      </c>
      <c r="AA186" s="214">
        <v>312768</v>
      </c>
      <c r="AB186" s="214">
        <v>340603</v>
      </c>
      <c r="AC186" s="237"/>
      <c r="AD186" s="237"/>
      <c r="AE186" s="217">
        <f>SUM(Y186:AD186)</f>
        <v>1902084</v>
      </c>
    </row>
    <row r="187" ht="15" customHeight="1">
      <c r="X187" s="256">
        <v>43313</v>
      </c>
      <c r="Y187" s="214">
        <v>839284</v>
      </c>
      <c r="Z187" s="214">
        <v>592202</v>
      </c>
      <c r="AA187" s="214">
        <v>349738</v>
      </c>
      <c r="AB187" s="214">
        <v>381833</v>
      </c>
      <c r="AC187" s="237"/>
      <c r="AD187" s="237"/>
      <c r="AE187" s="217">
        <f>SUM(Y187:AD187)</f>
        <v>2163057</v>
      </c>
    </row>
    <row r="188" ht="15" customHeight="1">
      <c r="X188" s="256">
        <v>43344</v>
      </c>
      <c r="Y188" s="214">
        <v>783271</v>
      </c>
      <c r="Z188" s="214">
        <v>510773</v>
      </c>
      <c r="AA188" s="214">
        <v>354825</v>
      </c>
      <c r="AB188" s="214">
        <v>364771</v>
      </c>
      <c r="AC188" s="237"/>
      <c r="AD188" s="237"/>
      <c r="AE188" s="217">
        <f>SUM(Y188:AD188)</f>
        <v>2013640</v>
      </c>
    </row>
    <row r="189" ht="15" customHeight="1">
      <c r="X189" s="256">
        <v>43374</v>
      </c>
      <c r="Y189" s="214">
        <v>347521</v>
      </c>
      <c r="Z189" s="214">
        <v>552969</v>
      </c>
      <c r="AA189" s="214">
        <v>289646</v>
      </c>
      <c r="AB189" s="214">
        <v>341829</v>
      </c>
      <c r="AC189" s="214">
        <v>698180</v>
      </c>
      <c r="AD189" s="237"/>
      <c r="AE189" s="217">
        <f>SUM(Y189:AD189)</f>
        <v>2230145</v>
      </c>
    </row>
    <row r="190" ht="15" customHeight="1">
      <c r="X190" s="256">
        <v>43405</v>
      </c>
      <c r="Y190" s="237"/>
      <c r="Z190" s="214">
        <v>606761</v>
      </c>
      <c r="AA190" s="237"/>
      <c r="AB190" s="214">
        <v>347009</v>
      </c>
      <c r="AC190" s="214">
        <v>403334</v>
      </c>
      <c r="AD190" s="214">
        <v>329728</v>
      </c>
      <c r="AE190" s="217">
        <f>SUM(Y190:AD190)</f>
        <v>1686832</v>
      </c>
    </row>
    <row r="191" ht="15.5" customHeight="1">
      <c r="X191" s="256">
        <v>43435</v>
      </c>
      <c r="Y191" s="237"/>
      <c r="Z191" s="214">
        <v>642321</v>
      </c>
      <c r="AA191" s="214">
        <v>395241</v>
      </c>
      <c r="AB191" s="214">
        <v>247889</v>
      </c>
      <c r="AC191" s="214">
        <v>219356</v>
      </c>
      <c r="AD191" s="214">
        <v>262805</v>
      </c>
      <c r="AE191" s="217">
        <f>SUM(Y191:AD191)</f>
        <v>1767612</v>
      </c>
    </row>
    <row r="192" ht="16" customHeight="1">
      <c r="X192" s="257">
        <v>2016</v>
      </c>
      <c r="Y192" t="s" s="234">
        <v>1120</v>
      </c>
      <c r="Z192" t="s" s="234">
        <v>1124</v>
      </c>
      <c r="AA192" t="s" s="234">
        <v>1125</v>
      </c>
      <c r="AB192" t="s" s="234">
        <v>1126</v>
      </c>
      <c r="AC192" s="226"/>
      <c r="AD192" s="226"/>
      <c r="AE192" t="s" s="258">
        <v>7</v>
      </c>
    </row>
    <row r="193" ht="15.5" customHeight="1">
      <c r="X193" s="256">
        <v>43101</v>
      </c>
      <c r="Y193" s="237"/>
      <c r="Z193" s="214">
        <v>817402</v>
      </c>
      <c r="AA193" s="214">
        <v>446607</v>
      </c>
      <c r="AB193" s="214">
        <v>266802</v>
      </c>
      <c r="AC193" s="237"/>
      <c r="AD193" s="237"/>
      <c r="AE193" s="217">
        <f>SUM(Y193:AC193)</f>
        <v>1530811</v>
      </c>
    </row>
    <row r="194" ht="15" customHeight="1">
      <c r="X194" s="256">
        <v>43132</v>
      </c>
      <c r="Y194" s="237"/>
      <c r="Z194" s="214">
        <v>824496</v>
      </c>
      <c r="AA194" s="214">
        <v>450648</v>
      </c>
      <c r="AB194" s="214">
        <v>188860</v>
      </c>
      <c r="AC194" s="237"/>
      <c r="AD194" s="237"/>
      <c r="AE194" s="217">
        <f>SUM(Y194:AC194)</f>
        <v>1464004</v>
      </c>
    </row>
    <row r="195" ht="15" customHeight="1">
      <c r="X195" s="256">
        <v>43160</v>
      </c>
      <c r="Y195" s="237"/>
      <c r="Z195" s="214">
        <v>781722</v>
      </c>
      <c r="AA195" s="214">
        <v>379717</v>
      </c>
      <c r="AB195" s="214"/>
      <c r="AC195" s="237"/>
      <c r="AD195" s="237"/>
      <c r="AE195" s="217">
        <f>SUM(Y195:AC195)</f>
        <v>1161439</v>
      </c>
    </row>
    <row r="196" ht="15" customHeight="1">
      <c r="X196" s="256">
        <v>43191</v>
      </c>
      <c r="Y196" s="237"/>
      <c r="Z196" s="214">
        <v>689332</v>
      </c>
      <c r="AA196" s="214">
        <v>339449</v>
      </c>
      <c r="AB196" s="214"/>
      <c r="AC196" s="237"/>
      <c r="AD196" s="237"/>
      <c r="AE196" s="217">
        <f>SUM(Y196:AC196)</f>
        <v>1028781</v>
      </c>
    </row>
    <row r="197" ht="15" customHeight="1">
      <c r="X197" s="256">
        <v>43221</v>
      </c>
      <c r="Y197" s="214">
        <v>588383</v>
      </c>
      <c r="Z197" s="214">
        <v>792140</v>
      </c>
      <c r="AA197" s="214">
        <v>455881</v>
      </c>
      <c r="AB197" s="214"/>
      <c r="AC197" s="237"/>
      <c r="AD197" s="237"/>
      <c r="AE197" s="217">
        <f>SUM(Y197:AC197)</f>
        <v>1836404</v>
      </c>
    </row>
    <row r="198" ht="15" customHeight="1">
      <c r="X198" s="256">
        <v>43252</v>
      </c>
      <c r="Y198" s="214">
        <v>565742</v>
      </c>
      <c r="Z198" s="214">
        <v>744270</v>
      </c>
      <c r="AA198" s="214">
        <v>420857</v>
      </c>
      <c r="AB198" s="214"/>
      <c r="AC198" s="237"/>
      <c r="AD198" s="237"/>
      <c r="AE198" s="217">
        <f>SUM(Y198:AC198)</f>
        <v>1730869</v>
      </c>
    </row>
    <row r="199" ht="15" customHeight="1">
      <c r="X199" s="256">
        <v>43282</v>
      </c>
      <c r="Y199" s="214">
        <v>586680</v>
      </c>
      <c r="Z199" s="214">
        <v>735241</v>
      </c>
      <c r="AA199" s="214">
        <v>418555</v>
      </c>
      <c r="AB199" s="214"/>
      <c r="AC199" s="237"/>
      <c r="AD199" s="237"/>
      <c r="AE199" s="217">
        <f>SUM(Y199:AC199)</f>
        <v>1740476</v>
      </c>
    </row>
    <row r="200" ht="15" customHeight="1">
      <c r="X200" s="256">
        <v>43313</v>
      </c>
      <c r="Y200" s="214">
        <v>589525</v>
      </c>
      <c r="Z200" s="214">
        <v>766037</v>
      </c>
      <c r="AA200" s="214">
        <v>418659</v>
      </c>
      <c r="AB200" s="214"/>
      <c r="AC200" s="237"/>
      <c r="AD200" s="237"/>
      <c r="AE200" s="217">
        <f>SUM(Y200:AC200)</f>
        <v>1774221</v>
      </c>
    </row>
    <row r="201" ht="15" customHeight="1">
      <c r="X201" s="256">
        <v>43344</v>
      </c>
      <c r="Y201" s="214">
        <v>546001</v>
      </c>
      <c r="Z201" s="214">
        <v>645976</v>
      </c>
      <c r="AA201" s="214">
        <v>369404</v>
      </c>
      <c r="AB201" s="214"/>
      <c r="AC201" s="237"/>
      <c r="AD201" s="237"/>
      <c r="AE201" s="217">
        <f>SUM(Y201:AC201)</f>
        <v>1561381</v>
      </c>
    </row>
    <row r="202" ht="15" customHeight="1">
      <c r="X202" s="256">
        <v>43374</v>
      </c>
      <c r="Y202" s="214">
        <v>742914</v>
      </c>
      <c r="Z202" s="214">
        <v>647848</v>
      </c>
      <c r="AA202" s="214">
        <v>326720</v>
      </c>
      <c r="AB202" s="214"/>
      <c r="AC202" s="237"/>
      <c r="AD202" s="237"/>
      <c r="AE202" s="217">
        <f>SUM(Y202:AC202)</f>
        <v>1717482</v>
      </c>
    </row>
    <row r="203" ht="15" customHeight="1">
      <c r="X203" s="256">
        <v>43405</v>
      </c>
      <c r="Y203" s="214">
        <v>685023</v>
      </c>
      <c r="Z203" s="214">
        <v>655694</v>
      </c>
      <c r="AA203" s="214">
        <v>182077</v>
      </c>
      <c r="AB203" s="214"/>
      <c r="AC203" s="237"/>
      <c r="AD203" s="237"/>
      <c r="AE203" s="217">
        <f>SUM(Y203:AC203)</f>
        <v>1522794</v>
      </c>
    </row>
    <row r="204" ht="15.5" customHeight="1">
      <c r="X204" s="256">
        <v>43435</v>
      </c>
      <c r="Y204" s="214">
        <v>609639</v>
      </c>
      <c r="Z204" s="214">
        <v>94187</v>
      </c>
      <c r="AA204" s="237"/>
      <c r="AB204" s="214"/>
      <c r="AC204" s="237"/>
      <c r="AD204" s="237"/>
      <c r="AE204" s="217">
        <f>SUM(Y204:AC204)</f>
        <v>703826</v>
      </c>
    </row>
    <row r="205" ht="16" customHeight="1">
      <c r="X205" s="257">
        <v>2017</v>
      </c>
      <c r="Y205" t="s" s="234">
        <v>1120</v>
      </c>
      <c r="Z205" s="226"/>
      <c r="AA205" s="226"/>
      <c r="AB205" s="226"/>
      <c r="AC205" s="226"/>
      <c r="AD205" s="226"/>
      <c r="AE205" t="s" s="258">
        <v>7</v>
      </c>
    </row>
    <row r="206" ht="15.5" customHeight="1">
      <c r="X206" s="256">
        <v>43101</v>
      </c>
      <c r="Y206" s="214">
        <v>696468</v>
      </c>
      <c r="Z206" s="237"/>
      <c r="AA206" s="237"/>
      <c r="AB206" s="214"/>
      <c r="AC206" s="237"/>
      <c r="AD206" s="237"/>
      <c r="AE206" s="217">
        <f>SUM(Y206:AC206)</f>
        <v>696468</v>
      </c>
    </row>
    <row r="207" ht="15" customHeight="1">
      <c r="X207" s="256">
        <v>43132</v>
      </c>
      <c r="Y207" s="214">
        <v>699580</v>
      </c>
      <c r="Z207" s="237"/>
      <c r="AA207" s="237"/>
      <c r="AB207" s="214"/>
      <c r="AC207" s="237"/>
      <c r="AD207" s="237"/>
      <c r="AE207" s="217">
        <f>SUM(Y207:AC207)</f>
        <v>699580</v>
      </c>
    </row>
    <row r="208" ht="15" customHeight="1">
      <c r="X208" s="256">
        <v>43160</v>
      </c>
      <c r="Y208" s="214">
        <v>649041</v>
      </c>
      <c r="Z208" s="237"/>
      <c r="AA208" s="237"/>
      <c r="AB208" s="214"/>
      <c r="AC208" s="237"/>
      <c r="AD208" s="237"/>
      <c r="AE208" s="217">
        <f>SUM(Y208:AC208)</f>
        <v>649041</v>
      </c>
    </row>
    <row r="209" ht="15" customHeight="1">
      <c r="X209" s="256">
        <v>43191</v>
      </c>
      <c r="Y209" s="214">
        <v>712671</v>
      </c>
      <c r="Z209" s="237"/>
      <c r="AA209" s="237"/>
      <c r="AB209" s="214"/>
      <c r="AC209" s="237"/>
      <c r="AD209" s="237"/>
      <c r="AE209" s="217">
        <f>SUM(Y209:AC209)</f>
        <v>712671</v>
      </c>
    </row>
    <row r="210" ht="15" customHeight="1">
      <c r="X210" s="256">
        <v>43221</v>
      </c>
      <c r="Y210" s="214">
        <v>607097</v>
      </c>
      <c r="Z210" s="237"/>
      <c r="AA210" s="237"/>
      <c r="AB210" s="214"/>
      <c r="AC210" s="237"/>
      <c r="AD210" s="237"/>
      <c r="AE210" s="217">
        <f>SUM(Y210:AC210)</f>
        <v>607097</v>
      </c>
    </row>
    <row r="211" ht="15" customHeight="1">
      <c r="X211" s="256">
        <v>43252</v>
      </c>
      <c r="Y211" s="214">
        <v>705297</v>
      </c>
      <c r="Z211" s="237"/>
      <c r="AA211" s="237"/>
      <c r="AB211" s="214"/>
      <c r="AC211" s="237"/>
      <c r="AD211" s="237"/>
      <c r="AE211" s="217">
        <f>SUM(Y211:AC211)</f>
        <v>705297</v>
      </c>
    </row>
    <row r="212" ht="15" customHeight="1">
      <c r="X212" s="256">
        <v>43282</v>
      </c>
      <c r="Y212" s="214">
        <v>820483</v>
      </c>
      <c r="Z212" s="237"/>
      <c r="AA212" s="237"/>
      <c r="AB212" s="214"/>
      <c r="AC212" s="237"/>
      <c r="AD212" s="237"/>
      <c r="AE212" s="217">
        <f>SUM(Y212:AC212)</f>
        <v>820483</v>
      </c>
    </row>
    <row r="213" ht="15" customHeight="1">
      <c r="X213" s="256">
        <v>43313</v>
      </c>
      <c r="Y213" s="214">
        <v>659628</v>
      </c>
      <c r="Z213" s="237"/>
      <c r="AA213" s="237"/>
      <c r="AB213" s="214"/>
      <c r="AC213" s="237"/>
      <c r="AD213" s="237"/>
      <c r="AE213" s="217">
        <f>SUM(Y213:AC213)</f>
        <v>659628</v>
      </c>
    </row>
    <row r="214" ht="15" customHeight="1">
      <c r="X214" s="256">
        <v>43344</v>
      </c>
      <c r="Y214" s="214">
        <v>243776</v>
      </c>
      <c r="Z214" s="237"/>
      <c r="AA214" s="237"/>
      <c r="AB214" s="214"/>
      <c r="AC214" s="237"/>
      <c r="AD214" s="237"/>
      <c r="AE214" s="217">
        <f>SUM(Y214:AC214)</f>
        <v>243776</v>
      </c>
    </row>
    <row r="215" ht="15" customHeight="1">
      <c r="X215" s="256">
        <v>43374</v>
      </c>
      <c r="Y215" s="237"/>
      <c r="Z215" s="237"/>
      <c r="AA215" s="237"/>
      <c r="AB215" s="214"/>
      <c r="AC215" s="237"/>
      <c r="AD215" s="237"/>
      <c r="AE215" s="217">
        <f>SUM(Y215:AC215)</f>
        <v>0</v>
      </c>
    </row>
    <row r="216" ht="15" customHeight="1">
      <c r="X216" s="256">
        <v>43405</v>
      </c>
      <c r="Y216" s="237"/>
      <c r="Z216" s="237"/>
      <c r="AA216" s="237"/>
      <c r="AB216" s="214"/>
      <c r="AC216" s="237"/>
      <c r="AD216" s="237"/>
      <c r="AE216" s="217">
        <f>SUM(Y216:AC216)</f>
        <v>0</v>
      </c>
    </row>
    <row r="217" ht="15.5" customHeight="1">
      <c r="X217" s="256">
        <v>43435</v>
      </c>
      <c r="Y217" s="237"/>
      <c r="Z217" s="237"/>
      <c r="AA217" s="237"/>
      <c r="AB217" s="214"/>
      <c r="AC217" s="237"/>
      <c r="AD217" s="237"/>
      <c r="AE217" s="217">
        <f>SUM(Y217:AC217)</f>
        <v>0</v>
      </c>
    </row>
    <row r="218" ht="16" customHeight="1">
      <c r="X218" s="257">
        <v>2018</v>
      </c>
      <c r="Y218" s="226"/>
      <c r="Z218" s="226"/>
      <c r="AA218" s="226"/>
      <c r="AB218" s="226"/>
      <c r="AC218" s="226"/>
      <c r="AD218" s="226"/>
      <c r="AE218" t="s" s="258">
        <v>7</v>
      </c>
    </row>
    <row r="219" ht="15.5" customHeight="1">
      <c r="X219" s="256">
        <v>43101</v>
      </c>
      <c r="Y219" s="237"/>
      <c r="Z219" s="237"/>
      <c r="AA219" s="237"/>
      <c r="AB219" s="214"/>
      <c r="AC219" s="237"/>
      <c r="AD219" s="237"/>
      <c r="AE219" s="217">
        <f>SUM(Y219:AC219)</f>
        <v>0</v>
      </c>
    </row>
    <row r="220" ht="15" customHeight="1">
      <c r="X220" s="256">
        <v>43132</v>
      </c>
      <c r="Y220" s="237"/>
      <c r="Z220" s="237"/>
      <c r="AA220" s="237"/>
      <c r="AB220" s="214"/>
      <c r="AC220" s="237"/>
      <c r="AD220" s="237"/>
      <c r="AE220" s="217">
        <f>SUM(Y220:AC220)</f>
        <v>0</v>
      </c>
    </row>
    <row r="221" ht="15" customHeight="1">
      <c r="X221" s="256">
        <v>43160</v>
      </c>
      <c r="Y221" s="237"/>
      <c r="Z221" s="237"/>
      <c r="AA221" s="237"/>
      <c r="AB221" s="214"/>
      <c r="AC221" s="237"/>
      <c r="AD221" s="237"/>
      <c r="AE221" s="217">
        <f>SUM(Y221:AC221)</f>
        <v>0</v>
      </c>
    </row>
    <row r="222" ht="15" customHeight="1">
      <c r="X222" s="256">
        <v>43191</v>
      </c>
      <c r="Y222" s="237"/>
      <c r="Z222" s="237"/>
      <c r="AA222" s="237"/>
      <c r="AB222" s="214"/>
      <c r="AC222" s="237"/>
      <c r="AD222" s="237"/>
      <c r="AE222" s="217">
        <f>SUM(Y222:AC222)</f>
        <v>0</v>
      </c>
    </row>
    <row r="223" ht="15" customHeight="1">
      <c r="X223" s="256">
        <v>43221</v>
      </c>
      <c r="Y223" s="237"/>
      <c r="Z223" s="237"/>
      <c r="AA223" s="237"/>
      <c r="AB223" s="214"/>
      <c r="AC223" s="237"/>
      <c r="AD223" s="237"/>
      <c r="AE223" s="217">
        <f>SUM(Y223:AC223)</f>
        <v>0</v>
      </c>
    </row>
    <row r="224" ht="15" customHeight="1">
      <c r="X224" s="256">
        <v>43252</v>
      </c>
      <c r="Y224" s="237"/>
      <c r="Z224" s="237"/>
      <c r="AA224" s="237"/>
      <c r="AB224" s="214"/>
      <c r="AC224" s="237"/>
      <c r="AD224" s="237"/>
      <c r="AE224" s="217">
        <f>SUM(Y224:AC224)</f>
        <v>0</v>
      </c>
    </row>
    <row r="225" ht="15" customHeight="1">
      <c r="X225" s="256">
        <v>43282</v>
      </c>
      <c r="Y225" s="237"/>
      <c r="Z225" s="237"/>
      <c r="AA225" s="237"/>
      <c r="AB225" s="214"/>
      <c r="AC225" s="237"/>
      <c r="AD225" s="237"/>
      <c r="AE225" s="217">
        <f>SUM(Y225:AC225)</f>
        <v>0</v>
      </c>
    </row>
    <row r="226" ht="15" customHeight="1">
      <c r="X226" s="256">
        <v>43313</v>
      </c>
      <c r="Y226" s="237"/>
      <c r="Z226" s="237"/>
      <c r="AA226" s="237"/>
      <c r="AB226" s="214"/>
      <c r="AC226" s="237"/>
      <c r="AD226" s="237"/>
      <c r="AE226" s="217">
        <f>SUM(Y226:AC226)</f>
        <v>0</v>
      </c>
    </row>
    <row r="227" ht="15" customHeight="1">
      <c r="X227" s="256">
        <v>43344</v>
      </c>
      <c r="Y227" s="237"/>
      <c r="Z227" s="237"/>
      <c r="AA227" s="237"/>
      <c r="AB227" s="214"/>
      <c r="AC227" s="237"/>
      <c r="AD227" s="237"/>
      <c r="AE227" s="217">
        <f>SUM(Y227:AC227)</f>
        <v>0</v>
      </c>
    </row>
    <row r="228" ht="15" customHeight="1">
      <c r="X228" s="256">
        <v>43374</v>
      </c>
      <c r="Y228" s="237"/>
      <c r="Z228" s="237"/>
      <c r="AA228" s="237"/>
      <c r="AB228" s="214"/>
      <c r="AC228" s="237"/>
      <c r="AD228" s="237"/>
      <c r="AE228" s="217">
        <f>SUM(Y228:AC228)</f>
        <v>0</v>
      </c>
    </row>
    <row r="229" ht="15" customHeight="1">
      <c r="X229" s="256">
        <v>43405</v>
      </c>
      <c r="Y229" s="237"/>
      <c r="Z229" s="237"/>
      <c r="AA229" s="237"/>
      <c r="AB229" s="214"/>
      <c r="AC229" s="237"/>
      <c r="AD229" s="237"/>
      <c r="AE229" s="217">
        <f>SUM(Y229:AC229)</f>
        <v>0</v>
      </c>
    </row>
    <row r="230" ht="15.5" customHeight="1">
      <c r="X230" s="256">
        <v>43435</v>
      </c>
      <c r="Y230" s="237"/>
      <c r="Z230" s="237"/>
      <c r="AA230" s="237"/>
      <c r="AB230" s="214"/>
      <c r="AC230" s="237"/>
      <c r="AD230" s="237"/>
      <c r="AE230" s="217">
        <f>SUM(Y230:AC230)</f>
        <v>0</v>
      </c>
    </row>
    <row r="231" ht="15.5" customHeight="1">
      <c r="X231" s="259"/>
      <c r="Y231" s="260"/>
      <c r="Z231" s="260"/>
      <c r="AA231" s="260"/>
      <c r="AB231" s="260"/>
      <c r="AC231" s="260"/>
      <c r="AD231" s="260"/>
      <c r="AE231" s="261"/>
    </row>
    <row r="233" ht="18" customHeight="1">
      <c r="AF233" t="s" s="2">
        <v>1132</v>
      </c>
      <c r="AG233" s="2"/>
      <c r="AH233" s="2"/>
      <c r="AI233" s="2"/>
      <c r="AJ233" s="2"/>
    </row>
    <row r="234" ht="15.55" customHeight="1">
      <c r="AF234" s="313"/>
      <c r="AG234" t="s" s="314">
        <v>1063</v>
      </c>
      <c r="AH234" t="s" s="314">
        <v>1065</v>
      </c>
      <c r="AI234" t="s" s="314">
        <v>1064</v>
      </c>
      <c r="AJ234" s="313"/>
    </row>
    <row r="235" ht="15.55" customHeight="1">
      <c r="AF235" s="315"/>
      <c r="AG235" s="316"/>
      <c r="AH235" s="317"/>
      <c r="AI235" s="317"/>
      <c r="AJ235" s="317"/>
    </row>
    <row r="236" ht="15.35" customHeight="1">
      <c r="AF236" s="318"/>
      <c r="AG236" s="319"/>
      <c r="AH236" s="33"/>
      <c r="AI236" s="33"/>
      <c r="AJ236" s="33"/>
    </row>
    <row r="237" ht="15.35" customHeight="1">
      <c r="AF237" s="318"/>
      <c r="AG237" s="319"/>
      <c r="AH237" s="33"/>
      <c r="AI237" s="33"/>
      <c r="AJ237" s="33"/>
    </row>
    <row r="238" ht="15.35" customHeight="1">
      <c r="AF238" s="318"/>
      <c r="AG238" s="319"/>
      <c r="AH238" s="33"/>
      <c r="AI238" s="33"/>
      <c r="AJ238" s="33"/>
    </row>
    <row r="239" ht="15.35" customHeight="1">
      <c r="AF239" s="318"/>
      <c r="AG239" s="319"/>
      <c r="AH239" s="33"/>
      <c r="AI239" s="33"/>
      <c r="AJ239" s="33"/>
    </row>
    <row r="240" ht="15.35" customHeight="1">
      <c r="AF240" s="318"/>
      <c r="AG240" s="319"/>
      <c r="AH240" s="33"/>
      <c r="AI240" s="33"/>
      <c r="AJ240" s="33"/>
    </row>
    <row r="241" ht="15.35" customHeight="1">
      <c r="AF241" s="318"/>
      <c r="AG241" s="319"/>
      <c r="AH241" s="33"/>
      <c r="AI241" s="33"/>
      <c r="AJ241" s="33"/>
    </row>
    <row r="242" ht="15.35" customHeight="1">
      <c r="AF242" s="318"/>
      <c r="AG242" s="319"/>
      <c r="AH242" s="33"/>
      <c r="AI242" s="33"/>
      <c r="AJ242" s="33"/>
    </row>
    <row r="243" ht="15.35" customHeight="1">
      <c r="AF243" s="318"/>
      <c r="AG243" s="319"/>
      <c r="AH243" s="33"/>
      <c r="AI243" s="33"/>
      <c r="AJ243" s="33"/>
    </row>
  </sheetData>
  <mergeCells count="14">
    <mergeCell ref="A1:J1"/>
    <mergeCell ref="A4:A6"/>
    <mergeCell ref="A8:A19"/>
    <mergeCell ref="A21:A32"/>
    <mergeCell ref="A34:A45"/>
    <mergeCell ref="A47:A58"/>
    <mergeCell ref="A60:A71"/>
    <mergeCell ref="A73:A84"/>
    <mergeCell ref="A86:A97"/>
    <mergeCell ref="L113:W113"/>
    <mergeCell ref="L114:O114"/>
    <mergeCell ref="P114:S114"/>
    <mergeCell ref="T114:W114"/>
    <mergeCell ref="AF233:AJ233"/>
  </mergeCells>
  <pageMargins left="0.606299" right="0.606299" top="0.606299" bottom="0.606299" header="0.25" footer="0.25"/>
  <pageSetup firstPageNumber="1" fitToHeight="1" fitToWidth="1" scale="87" useFirstPageNumber="0" orientation="landscape" pageOrder="downThenOver"/>
  <headerFooter>
    <oddFooter>&amp;C&amp;"Helvetica Neue,Regular"&amp;12&amp;K000000&amp;P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2:R47"/>
  <sheetViews>
    <sheetView workbookViewId="0" showGridLines="0" defaultGridColor="1">
      <pane topLeftCell="C3" xSplit="2" ySplit="2" activePane="bottomRight" state="frozen"/>
    </sheetView>
  </sheetViews>
  <sheetFormatPr defaultColWidth="10.8333" defaultRowHeight="12.2" customHeight="1" outlineLevelRow="0" outlineLevelCol="0"/>
  <cols>
    <col min="1" max="1" width="5.85156" style="327" customWidth="1"/>
    <col min="2" max="2" width="23.5156" style="327" customWidth="1"/>
    <col min="3" max="3" width="9.28125" style="327" customWidth="1"/>
    <col min="4" max="6" width="10.8438" style="327" customWidth="1"/>
    <col min="7" max="7" width="5.85156" style="350" customWidth="1"/>
    <col min="8" max="8" width="23.6562" style="350" customWidth="1"/>
    <col min="9" max="9" width="9.14844" style="350" customWidth="1"/>
    <col min="10" max="10" width="10.7812" style="350" customWidth="1"/>
    <col min="11" max="11" width="5.85156" style="355" customWidth="1"/>
    <col min="12" max="12" width="23.5391" style="355" customWidth="1"/>
    <col min="13" max="13" width="9.28125" style="355" customWidth="1"/>
    <col min="14" max="14" width="10.9062" style="355" customWidth="1"/>
    <col min="15" max="15" width="5.85156" style="357" customWidth="1"/>
    <col min="16" max="16" width="23.6094" style="357" customWidth="1"/>
    <col min="17" max="17" width="9.28125" style="357" customWidth="1"/>
    <col min="18" max="18" width="10.9062" style="357" customWidth="1"/>
    <col min="19" max="256" width="10.8516" style="357" customWidth="1"/>
  </cols>
  <sheetData>
    <row r="1" ht="32" customHeight="1">
      <c r="A1" t="s" s="328">
        <v>1133</v>
      </c>
      <c r="B1" s="328"/>
      <c r="C1" s="328"/>
      <c r="D1" s="328"/>
      <c r="E1" s="328"/>
      <c r="F1" s="328"/>
    </row>
    <row r="2" ht="13.5" customHeight="1">
      <c r="A2" s="329"/>
      <c r="B2" t="s" s="330">
        <v>3</v>
      </c>
      <c r="C2" t="s" s="78">
        <v>1002</v>
      </c>
      <c r="D2" t="s" s="78">
        <v>5</v>
      </c>
      <c r="E2" t="s" s="78">
        <v>1129</v>
      </c>
      <c r="F2" t="s" s="80">
        <v>1129</v>
      </c>
    </row>
    <row r="3" ht="14" customHeight="1">
      <c r="A3" s="185">
        <v>1</v>
      </c>
      <c r="B3" t="s" s="331">
        <v>1014</v>
      </c>
      <c r="C3" s="332">
        <v>6.23</v>
      </c>
      <c r="D3" s="333">
        <f>B$13*C3</f>
        <v>171552.1458</v>
      </c>
      <c r="E3" s="334">
        <f>C3</f>
        <v>6.23</v>
      </c>
      <c r="F3" s="333">
        <f>E3*$B$13</f>
        <v>171552.1458</v>
      </c>
    </row>
    <row r="4" ht="14" customHeight="1">
      <c r="A4" s="176">
        <v>2</v>
      </c>
      <c r="B4" t="s" s="335">
        <v>1025</v>
      </c>
      <c r="C4" s="336">
        <v>1.35</v>
      </c>
      <c r="D4" s="337">
        <f>B$13*C4</f>
        <v>37174.221</v>
      </c>
      <c r="E4" s="338">
        <f>C4/6</f>
        <v>0.225</v>
      </c>
      <c r="F4" s="337">
        <f>E4*$B$13</f>
        <v>6195.7035</v>
      </c>
    </row>
    <row r="5" ht="14" customHeight="1">
      <c r="A5" s="176">
        <v>3</v>
      </c>
      <c r="B5" t="s" s="335">
        <v>1027</v>
      </c>
      <c r="C5" s="339">
        <v>1.35</v>
      </c>
      <c r="D5" s="340">
        <f>B$13*C5</f>
        <v>37174.221</v>
      </c>
      <c r="E5" s="341">
        <f>C5/3</f>
        <v>0.45</v>
      </c>
      <c r="F5" s="340">
        <f>E5*$B$13</f>
        <v>12391.407</v>
      </c>
    </row>
    <row r="6" ht="14" customHeight="1">
      <c r="A6" s="176">
        <v>4</v>
      </c>
      <c r="B6" t="s" s="335">
        <v>1011</v>
      </c>
      <c r="C6" s="336">
        <v>1.37</v>
      </c>
      <c r="D6" s="337">
        <f>B$13*C6</f>
        <v>37724.9502</v>
      </c>
      <c r="E6" s="338">
        <f>C6/3</f>
        <v>0.4566666666666667</v>
      </c>
      <c r="F6" s="337">
        <f>E6*$B$13</f>
        <v>12574.9834</v>
      </c>
    </row>
    <row r="7" ht="14" customHeight="1">
      <c r="A7" s="176">
        <v>5</v>
      </c>
      <c r="B7" t="s" s="335">
        <v>66</v>
      </c>
      <c r="C7" s="339">
        <v>4.88</v>
      </c>
      <c r="D7" s="340">
        <f>B$13*C7</f>
        <v>134377.9248</v>
      </c>
      <c r="E7" s="341">
        <f>C7</f>
        <v>4.88</v>
      </c>
      <c r="F7" s="340">
        <f>E7*$B$13</f>
        <v>134377.9248</v>
      </c>
    </row>
    <row r="8" ht="14" customHeight="1">
      <c r="A8" s="176">
        <v>6</v>
      </c>
      <c r="B8" t="s" s="335">
        <v>1035</v>
      </c>
      <c r="C8" s="336">
        <v>2.5</v>
      </c>
      <c r="D8" s="337">
        <f>B$13*C8</f>
        <v>68841.149999999994</v>
      </c>
      <c r="E8" s="338">
        <f>C8/3</f>
        <v>0.8333333333333334</v>
      </c>
      <c r="F8" s="337">
        <f>E8*$B$13</f>
        <v>22947.05</v>
      </c>
    </row>
    <row r="9" ht="14" customHeight="1">
      <c r="A9" s="176">
        <v>7</v>
      </c>
      <c r="B9" t="s" s="335">
        <v>1013</v>
      </c>
      <c r="C9" s="339">
        <v>4</v>
      </c>
      <c r="D9" s="340">
        <f>B$13*C9</f>
        <v>110145.84</v>
      </c>
      <c r="E9" s="341">
        <f>C9/3</f>
        <v>1.333333333333333</v>
      </c>
      <c r="F9" s="340">
        <f>E9*$B$13</f>
        <v>36715.28</v>
      </c>
    </row>
    <row r="10" ht="14" customHeight="1">
      <c r="A10" s="176">
        <v>8</v>
      </c>
      <c r="B10" t="s" s="335">
        <v>632</v>
      </c>
      <c r="C10" s="336">
        <f>7.7+3.3</f>
        <v>11</v>
      </c>
      <c r="D10" s="337">
        <f>B$13*C10</f>
        <v>302901.06</v>
      </c>
      <c r="E10" s="338">
        <f>C10/4</f>
        <v>2.75</v>
      </c>
      <c r="F10" s="337">
        <f>E10*$B$13</f>
        <v>75725.265</v>
      </c>
    </row>
    <row r="11" ht="14" customHeight="1">
      <c r="A11" s="176">
        <v>9</v>
      </c>
      <c r="B11" t="s" s="335">
        <v>22</v>
      </c>
      <c r="C11" s="339">
        <v>6.96</v>
      </c>
      <c r="D11" s="340">
        <f>B$13*C11</f>
        <v>191653.7616</v>
      </c>
      <c r="E11" s="341">
        <f>C11</f>
        <v>6.96</v>
      </c>
      <c r="F11" s="340">
        <f>E11*$B$13</f>
        <v>191653.7616</v>
      </c>
    </row>
    <row r="12" ht="14" customHeight="1">
      <c r="A12" s="177">
        <v>10</v>
      </c>
      <c r="B12" t="s" s="342">
        <v>1023</v>
      </c>
      <c r="C12" s="343">
        <v>1.7</v>
      </c>
      <c r="D12" s="344">
        <f>B$13*C12</f>
        <v>46811.982</v>
      </c>
      <c r="E12" s="345">
        <f>C12</f>
        <v>1.7</v>
      </c>
      <c r="F12" s="344">
        <f>E12*$B$13</f>
        <v>46811.982</v>
      </c>
    </row>
    <row r="13" ht="14" customHeight="1">
      <c r="A13" s="129">
        <f>COUNTA(A3:A12)</f>
        <v>10</v>
      </c>
      <c r="B13" s="346">
        <v>27536.46</v>
      </c>
      <c r="C13" s="347"/>
      <c r="D13" s="348">
        <f>SUM(D3:D12)</f>
        <v>1138357.2564</v>
      </c>
      <c r="E13" s="349">
        <f>SUM(E3:E12)</f>
        <v>25.81833333333334</v>
      </c>
      <c r="F13" s="348">
        <f>SUM(F3:F12)</f>
        <v>710945.5030999999</v>
      </c>
    </row>
    <row r="15" ht="32" customHeight="1">
      <c r="G15" t="s" s="328">
        <v>1134</v>
      </c>
      <c r="H15" s="328"/>
      <c r="I15" s="328"/>
      <c r="J15" s="328"/>
    </row>
    <row r="16" ht="13.5" customHeight="1">
      <c r="G16" s="329"/>
      <c r="H16" t="s" s="330">
        <v>3</v>
      </c>
      <c r="I16" t="s" s="78">
        <v>1002</v>
      </c>
      <c r="J16" t="s" s="80">
        <v>5</v>
      </c>
    </row>
    <row r="17" ht="14" customHeight="1">
      <c r="G17" s="185">
        <v>1</v>
      </c>
      <c r="H17" t="s" s="331">
        <v>1135</v>
      </c>
      <c r="I17" s="332">
        <v>18.66</v>
      </c>
      <c r="J17" s="333">
        <f>H$26*I17</f>
        <v>513830.3436</v>
      </c>
    </row>
    <row r="18" ht="14" customHeight="1">
      <c r="G18" s="176">
        <v>2</v>
      </c>
      <c r="H18" t="s" s="335">
        <v>1136</v>
      </c>
      <c r="I18" s="336">
        <f>47.28/3</f>
        <v>15.76</v>
      </c>
      <c r="J18" s="337">
        <f>H$26*I18</f>
        <v>433974.6096</v>
      </c>
    </row>
    <row r="19" ht="14" customHeight="1">
      <c r="G19" s="176">
        <v>4</v>
      </c>
      <c r="H19" t="s" s="335">
        <v>1137</v>
      </c>
      <c r="I19" s="339">
        <v>28</v>
      </c>
      <c r="J19" s="340">
        <f>H$26*I19</f>
        <v>771020.88</v>
      </c>
    </row>
    <row r="20" ht="14" customHeight="1">
      <c r="G20" s="176">
        <v>7</v>
      </c>
      <c r="H20" t="s" s="335">
        <v>742</v>
      </c>
      <c r="I20" s="336">
        <f>16.8/4</f>
        <v>4.2</v>
      </c>
      <c r="J20" s="337">
        <f>H$26*I20</f>
        <v>115653.132</v>
      </c>
    </row>
    <row r="21" ht="14" customHeight="1">
      <c r="G21" s="176">
        <v>8</v>
      </c>
      <c r="H21" t="s" s="335">
        <v>56</v>
      </c>
      <c r="I21" s="339">
        <f>J21/$H26</f>
        <v>7.353886447277537</v>
      </c>
      <c r="J21" s="340">
        <f>2430000/12</f>
        <v>202500</v>
      </c>
    </row>
    <row r="22" ht="14" customHeight="1">
      <c r="G22" s="176">
        <v>3</v>
      </c>
      <c r="H22" t="s" s="335">
        <v>1138</v>
      </c>
      <c r="I22" s="336">
        <v>13.1</v>
      </c>
      <c r="J22" s="337">
        <f>H$26*I22</f>
        <v>360727.626</v>
      </c>
    </row>
    <row r="23" ht="14" customHeight="1">
      <c r="G23" s="176">
        <v>5</v>
      </c>
      <c r="H23" t="s" s="335">
        <v>1139</v>
      </c>
      <c r="I23" s="339">
        <f>24.55/3</f>
        <v>8.183333333333334</v>
      </c>
      <c r="J23" s="340">
        <f>H$26*I23</f>
        <v>225340.031</v>
      </c>
    </row>
    <row r="24" ht="14" customHeight="1">
      <c r="G24" s="176">
        <v>6</v>
      </c>
      <c r="H24" t="s" s="335">
        <v>1140</v>
      </c>
      <c r="I24" s="336">
        <f>17.5/3</f>
        <v>5.833333333333333</v>
      </c>
      <c r="J24" s="337">
        <f>H$26*I24</f>
        <v>160629.35</v>
      </c>
    </row>
    <row r="25" ht="14" customHeight="1">
      <c r="G25" s="177">
        <v>9</v>
      </c>
      <c r="H25" t="s" s="342">
        <v>1141</v>
      </c>
      <c r="I25" s="351">
        <f>16/3</f>
        <v>5.333333333333333</v>
      </c>
      <c r="J25" s="352">
        <f>H$26*I25</f>
        <v>146861.12</v>
      </c>
    </row>
    <row r="26" ht="14" customHeight="1">
      <c r="G26" s="129">
        <f>COUNTA(G17:G25)</f>
        <v>9</v>
      </c>
      <c r="H26" s="346">
        <f>$B13</f>
        <v>27536.46</v>
      </c>
      <c r="I26" s="353">
        <f>SUM(I17:I25)</f>
        <v>106.4238864472775</v>
      </c>
      <c r="J26" s="354">
        <f>SUM(J17:J25)</f>
        <v>2930537.0922</v>
      </c>
    </row>
    <row r="28" ht="32" customHeight="1">
      <c r="K28" t="s" s="328">
        <v>1142</v>
      </c>
      <c r="L28" s="328"/>
      <c r="M28" s="328"/>
      <c r="N28" s="328"/>
    </row>
    <row r="29" ht="13.5" customHeight="1">
      <c r="K29" s="329"/>
      <c r="L29" t="s" s="330">
        <v>3</v>
      </c>
      <c r="M29" t="s" s="78">
        <v>1002</v>
      </c>
      <c r="N29" t="s" s="80">
        <v>5</v>
      </c>
    </row>
    <row r="30" ht="14" customHeight="1">
      <c r="K30" s="185">
        <v>1</v>
      </c>
      <c r="L30" t="s" s="331">
        <v>610</v>
      </c>
      <c r="M30" s="332">
        <v>7.5</v>
      </c>
      <c r="N30" s="333">
        <f>L$36*M30</f>
        <v>206523.45</v>
      </c>
    </row>
    <row r="31" ht="14" customHeight="1">
      <c r="K31" s="176">
        <v>2</v>
      </c>
      <c r="L31" t="s" s="335">
        <v>98</v>
      </c>
      <c r="M31" s="336">
        <v>14.64</v>
      </c>
      <c r="N31" s="337">
        <f>H$26*M31</f>
        <v>403133.7744</v>
      </c>
    </row>
    <row r="32" ht="14" customHeight="1">
      <c r="K32" s="176">
        <v>3</v>
      </c>
      <c r="L32" t="s" s="335">
        <v>26</v>
      </c>
      <c r="M32" s="339">
        <v>36</v>
      </c>
      <c r="N32" s="340">
        <f>L$36*M32</f>
        <v>991312.5599999999</v>
      </c>
    </row>
    <row r="33" ht="14" customHeight="1">
      <c r="K33" s="176">
        <v>4</v>
      </c>
      <c r="L33" t="s" s="335">
        <v>183</v>
      </c>
      <c r="M33" s="336">
        <f>27.65/4</f>
        <v>6.9125</v>
      </c>
      <c r="N33" s="337">
        <f>L$36*M33</f>
        <v>190345.77975</v>
      </c>
    </row>
    <row r="34" ht="14" customHeight="1">
      <c r="K34" s="176">
        <v>5</v>
      </c>
      <c r="L34" t="s" s="335">
        <v>1143</v>
      </c>
      <c r="M34" s="339">
        <v>17.25</v>
      </c>
      <c r="N34" s="340">
        <f>L$36*M34</f>
        <v>475003.935</v>
      </c>
    </row>
    <row r="35" ht="14" customHeight="1">
      <c r="K35" s="177">
        <v>6</v>
      </c>
      <c r="L35" t="s" s="342">
        <v>1144</v>
      </c>
      <c r="M35" s="343">
        <f>46*1.1/2</f>
        <v>25.3</v>
      </c>
      <c r="N35" s="344">
        <f>L$36*M35</f>
        <v>696672.438</v>
      </c>
    </row>
    <row r="36" ht="14" customHeight="1">
      <c r="K36" s="129">
        <f>COUNTA(K30:K35)</f>
        <v>6</v>
      </c>
      <c r="L36" s="346">
        <f>$B13</f>
        <v>27536.46</v>
      </c>
      <c r="M36" s="347">
        <f>SUM(M30:M35)</f>
        <v>107.6025</v>
      </c>
      <c r="N36" s="356">
        <f>SUM(N30:N35)</f>
        <v>2962991.93715</v>
      </c>
    </row>
    <row r="38" ht="32" customHeight="1">
      <c r="O38" t="s" s="328">
        <v>1145</v>
      </c>
      <c r="P38" s="328"/>
      <c r="Q38" s="328"/>
      <c r="R38" s="328"/>
    </row>
    <row r="39" ht="13.5" customHeight="1">
      <c r="O39" s="329"/>
      <c r="P39" t="s" s="330">
        <v>3</v>
      </c>
      <c r="Q39" t="s" s="78">
        <v>1002</v>
      </c>
      <c r="R39" t="s" s="80">
        <v>5</v>
      </c>
    </row>
    <row r="40" ht="14" customHeight="1">
      <c r="O40" s="185">
        <v>1</v>
      </c>
      <c r="P40" t="s" s="331">
        <v>1146</v>
      </c>
      <c r="Q40" s="332">
        <f>26.25/6</f>
        <v>4.375</v>
      </c>
      <c r="R40" s="333">
        <f>P$47*Q40</f>
        <v>120472.0125</v>
      </c>
    </row>
    <row r="41" ht="14" customHeight="1">
      <c r="O41" s="176">
        <v>2</v>
      </c>
      <c r="P41" t="s" s="335">
        <v>1147</v>
      </c>
      <c r="Q41" s="336">
        <f>16/6</f>
        <v>2.666666666666667</v>
      </c>
      <c r="R41" s="337">
        <f>P$47*Q41</f>
        <v>73430.56</v>
      </c>
    </row>
    <row r="42" ht="14" customHeight="1">
      <c r="O42" s="176">
        <v>3</v>
      </c>
      <c r="P42" t="s" s="335">
        <v>1148</v>
      </c>
      <c r="Q42" s="339">
        <f>1330000/25000/6</f>
        <v>8.866666666666667</v>
      </c>
      <c r="R42" s="340">
        <f>P$47*Q42</f>
        <v>244156.612</v>
      </c>
    </row>
    <row r="43" ht="14" customHeight="1">
      <c r="O43" s="176">
        <v>4</v>
      </c>
      <c r="P43" t="s" s="335">
        <v>1149</v>
      </c>
      <c r="Q43" s="336">
        <v>1</v>
      </c>
      <c r="R43" s="337">
        <f>P$47*Q43</f>
        <v>27536.46</v>
      </c>
    </row>
    <row r="44" ht="14" customHeight="1">
      <c r="O44" s="176">
        <v>5</v>
      </c>
      <c r="P44" t="s" s="335">
        <v>1150</v>
      </c>
      <c r="Q44" s="339">
        <v>1</v>
      </c>
      <c r="R44" s="340">
        <f>P$47*Q44</f>
        <v>27536.46</v>
      </c>
    </row>
    <row r="45" ht="14" customHeight="1">
      <c r="O45" s="176">
        <v>6</v>
      </c>
      <c r="P45" t="s" s="335">
        <v>1151</v>
      </c>
      <c r="Q45" s="336">
        <f>4</f>
        <v>4</v>
      </c>
      <c r="R45" s="337">
        <f>P$47*Q45</f>
        <v>110145.84</v>
      </c>
    </row>
    <row r="46" ht="14" customHeight="1">
      <c r="O46" s="177">
        <v>7</v>
      </c>
      <c r="P46" t="s" s="342">
        <v>49</v>
      </c>
      <c r="Q46" s="351">
        <f>15.6/6</f>
        <v>2.6</v>
      </c>
      <c r="R46" s="352">
        <f>P$47*Q46</f>
        <v>71594.796</v>
      </c>
    </row>
    <row r="47" ht="14" customHeight="1">
      <c r="O47" s="129">
        <f>COUNTA(O40:O46)</f>
        <v>7</v>
      </c>
      <c r="P47" s="346">
        <f>$B13</f>
        <v>27536.46</v>
      </c>
      <c r="Q47" s="353"/>
      <c r="R47" s="354">
        <f>SUM(R40:R46)</f>
        <v>674872.7405</v>
      </c>
    </row>
  </sheetData>
  <mergeCells count="4">
    <mergeCell ref="A1:F1"/>
    <mergeCell ref="G15:J15"/>
    <mergeCell ref="K28:N28"/>
    <mergeCell ref="O38:R38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2:G30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8" customHeight="1" outlineLevelRow="0" outlineLevelCol="0"/>
  <cols>
    <col min="1" max="1" width="25.2734" style="358" customWidth="1"/>
    <col min="2" max="7" width="16.3516" style="358" customWidth="1"/>
    <col min="8" max="256" width="16.3516" style="358" customWidth="1"/>
  </cols>
  <sheetData>
    <row r="1" ht="28" customHeight="1">
      <c r="A1" t="s" s="359">
        <v>1152</v>
      </c>
      <c r="B1" s="359"/>
      <c r="C1" s="359"/>
      <c r="D1" s="359"/>
      <c r="E1" s="359"/>
      <c r="F1" s="359"/>
      <c r="G1" s="359"/>
    </row>
    <row r="2" ht="20.55" customHeight="1">
      <c r="A2" s="360"/>
      <c r="B2" s="360"/>
      <c r="C2" s="360"/>
      <c r="D2" s="360"/>
      <c r="E2" s="360"/>
      <c r="F2" s="360"/>
      <c r="G2" s="360"/>
    </row>
    <row r="3" ht="20.55" customHeight="1">
      <c r="A3" t="s" s="361">
        <v>719</v>
      </c>
      <c r="B3" t="s" s="362">
        <v>1129</v>
      </c>
      <c r="C3" t="s" s="363">
        <v>1153</v>
      </c>
      <c r="D3" s="364"/>
      <c r="E3" s="364"/>
      <c r="F3" s="364"/>
      <c r="G3" s="364"/>
    </row>
    <row r="4" ht="20.35" customHeight="1">
      <c r="A4" t="s" s="365">
        <v>1154</v>
      </c>
      <c r="B4" t="s" s="366">
        <v>1129</v>
      </c>
      <c r="C4" t="s" s="367">
        <v>1153</v>
      </c>
      <c r="D4" s="368"/>
      <c r="E4" s="368"/>
      <c r="F4" s="368"/>
      <c r="G4" s="368"/>
    </row>
    <row r="5" ht="20.35" customHeight="1">
      <c r="A5" t="s" s="365">
        <v>183</v>
      </c>
      <c r="B5" t="s" s="366">
        <v>1129</v>
      </c>
      <c r="C5" t="s" s="367">
        <v>1153</v>
      </c>
      <c r="D5" s="368"/>
      <c r="E5" s="368"/>
      <c r="F5" s="368"/>
      <c r="G5" s="368"/>
    </row>
    <row r="6" ht="20.35" customHeight="1">
      <c r="A6" t="s" s="365">
        <v>66</v>
      </c>
      <c r="B6" t="s" s="366">
        <v>1129</v>
      </c>
      <c r="C6" t="s" s="367">
        <v>1153</v>
      </c>
      <c r="D6" s="368"/>
      <c r="E6" s="368"/>
      <c r="F6" s="368"/>
      <c r="G6" s="368"/>
    </row>
    <row r="7" ht="20.35" customHeight="1">
      <c r="A7" t="s" s="365">
        <v>1155</v>
      </c>
      <c r="B7" t="s" s="366">
        <v>1129</v>
      </c>
      <c r="C7" t="s" s="367">
        <v>1153</v>
      </c>
      <c r="D7" s="368"/>
      <c r="E7" s="368"/>
      <c r="F7" s="368"/>
      <c r="G7" s="368"/>
    </row>
    <row r="8" ht="20.35" customHeight="1">
      <c r="A8" t="s" s="365">
        <v>1156</v>
      </c>
      <c r="B8" t="s" s="366">
        <v>1129</v>
      </c>
      <c r="C8" t="s" s="367">
        <v>1153</v>
      </c>
      <c r="D8" s="368"/>
      <c r="E8" s="368"/>
      <c r="F8" s="368"/>
      <c r="G8" s="368"/>
    </row>
    <row r="9" ht="20.35" customHeight="1">
      <c r="A9" t="s" s="365">
        <v>1157</v>
      </c>
      <c r="B9" t="s" s="366">
        <v>1129</v>
      </c>
      <c r="C9" t="s" s="367">
        <v>1153</v>
      </c>
      <c r="D9" s="368"/>
      <c r="E9" s="368"/>
      <c r="F9" s="368"/>
      <c r="G9" s="368"/>
    </row>
    <row r="10" ht="20.35" customHeight="1">
      <c r="A10" t="s" s="365">
        <v>630</v>
      </c>
      <c r="B10" t="s" s="366">
        <v>1129</v>
      </c>
      <c r="C10" t="s" s="367">
        <v>1153</v>
      </c>
      <c r="D10" s="368"/>
      <c r="E10" s="368"/>
      <c r="F10" s="368"/>
      <c r="G10" s="368"/>
    </row>
    <row r="11" ht="20.35" customHeight="1">
      <c r="A11" t="s" s="365">
        <v>1158</v>
      </c>
      <c r="B11" t="s" s="366">
        <v>1129</v>
      </c>
      <c r="C11" t="s" s="367">
        <v>1153</v>
      </c>
      <c r="D11" s="368"/>
      <c r="E11" s="368"/>
      <c r="F11" s="368"/>
      <c r="G11" s="368"/>
    </row>
    <row r="12" ht="20.35" customHeight="1">
      <c r="A12" t="s" s="365">
        <v>1159</v>
      </c>
      <c r="B12" t="s" s="366">
        <v>1129</v>
      </c>
      <c r="C12" t="s" s="367">
        <v>1153</v>
      </c>
      <c r="D12" s="368"/>
      <c r="E12" s="368"/>
      <c r="F12" s="368"/>
      <c r="G12" s="368"/>
    </row>
    <row r="13" ht="20.35" customHeight="1">
      <c r="A13" t="s" s="365">
        <v>1160</v>
      </c>
      <c r="B13" t="s" s="366">
        <v>1129</v>
      </c>
      <c r="C13" t="s" s="367">
        <v>1153</v>
      </c>
      <c r="D13" s="368"/>
      <c r="E13" s="368"/>
      <c r="F13" s="368"/>
      <c r="G13" s="368"/>
    </row>
    <row r="14" ht="20.35" customHeight="1">
      <c r="A14" t="s" s="365">
        <v>1161</v>
      </c>
      <c r="B14" t="s" s="366">
        <v>1162</v>
      </c>
      <c r="C14" t="s" s="367">
        <v>1153</v>
      </c>
      <c r="D14" s="368"/>
      <c r="E14" s="368"/>
      <c r="F14" s="368"/>
      <c r="G14" s="368"/>
    </row>
    <row r="15" ht="20.35" customHeight="1">
      <c r="A15" t="s" s="365">
        <v>1013</v>
      </c>
      <c r="B15" t="s" s="366">
        <v>1129</v>
      </c>
      <c r="C15" t="s" s="367">
        <v>1153</v>
      </c>
      <c r="D15" s="368"/>
      <c r="E15" s="368"/>
      <c r="F15" s="368"/>
      <c r="G15" s="368"/>
    </row>
    <row r="16" ht="20.35" customHeight="1">
      <c r="A16" t="s" s="365">
        <v>555</v>
      </c>
      <c r="B16" t="s" s="366">
        <v>1163</v>
      </c>
      <c r="C16" t="s" s="367">
        <v>1153</v>
      </c>
      <c r="D16" t="s" s="367">
        <v>1164</v>
      </c>
      <c r="E16" s="368"/>
      <c r="F16" s="368"/>
      <c r="G16" s="368"/>
    </row>
    <row r="17" ht="20.35" customHeight="1">
      <c r="A17" t="s" s="365">
        <v>1165</v>
      </c>
      <c r="B17" t="s" s="366">
        <v>1163</v>
      </c>
      <c r="C17" t="s" s="367">
        <v>1153</v>
      </c>
      <c r="D17" s="368"/>
      <c r="E17" s="368"/>
      <c r="F17" s="368"/>
      <c r="G17" s="368"/>
    </row>
    <row r="18" ht="20.35" customHeight="1">
      <c r="A18" t="s" s="365">
        <v>723</v>
      </c>
      <c r="B18" t="s" s="366">
        <v>1163</v>
      </c>
      <c r="C18" t="s" s="367">
        <v>1153</v>
      </c>
      <c r="D18" s="368"/>
      <c r="E18" s="368"/>
      <c r="F18" s="368"/>
      <c r="G18" s="368"/>
    </row>
    <row r="19" ht="20.35" customHeight="1">
      <c r="A19" t="s" s="365">
        <v>742</v>
      </c>
      <c r="B19" t="s" s="366">
        <v>1166</v>
      </c>
      <c r="C19" t="s" s="367">
        <v>1153</v>
      </c>
      <c r="D19" s="368"/>
      <c r="E19" s="368"/>
      <c r="F19" s="368"/>
      <c r="G19" s="368"/>
    </row>
    <row r="20" ht="20.35" customHeight="1">
      <c r="A20" t="s" s="365">
        <v>529</v>
      </c>
      <c r="B20" t="s" s="366">
        <v>1129</v>
      </c>
      <c r="C20" t="s" s="367">
        <v>1167</v>
      </c>
      <c r="D20" s="368"/>
      <c r="E20" s="368"/>
      <c r="F20" s="368"/>
      <c r="G20" s="368"/>
    </row>
    <row r="21" ht="20.35" customHeight="1">
      <c r="A21" t="s" s="365">
        <v>532</v>
      </c>
      <c r="B21" t="s" s="366">
        <v>1129</v>
      </c>
      <c r="C21" t="s" s="367">
        <v>1167</v>
      </c>
      <c r="D21" s="368"/>
      <c r="E21" s="368"/>
      <c r="F21" s="368"/>
      <c r="G21" s="368"/>
    </row>
    <row r="22" ht="20.35" customHeight="1">
      <c r="A22" t="s" s="365">
        <v>449</v>
      </c>
      <c r="B22" t="s" s="366">
        <v>1129</v>
      </c>
      <c r="C22" t="s" s="367">
        <v>1167</v>
      </c>
      <c r="D22" s="368"/>
      <c r="E22" s="368"/>
      <c r="F22" s="368"/>
      <c r="G22" s="368"/>
    </row>
    <row r="23" ht="20.35" customHeight="1">
      <c r="A23" t="s" s="365">
        <v>10</v>
      </c>
      <c r="B23" t="s" s="366">
        <v>1129</v>
      </c>
      <c r="C23" t="s" s="367">
        <v>1167</v>
      </c>
      <c r="D23" s="368"/>
      <c r="E23" s="368"/>
      <c r="F23" s="368"/>
      <c r="G23" s="368"/>
    </row>
    <row r="24" ht="20.35" customHeight="1">
      <c r="A24" t="s" s="365">
        <v>25</v>
      </c>
      <c r="B24" t="s" s="366">
        <v>1129</v>
      </c>
      <c r="C24" t="s" s="367">
        <v>1167</v>
      </c>
      <c r="D24" s="368"/>
      <c r="E24" s="368"/>
      <c r="F24" s="368"/>
      <c r="G24" s="368"/>
    </row>
    <row r="25" ht="20.35" customHeight="1">
      <c r="A25" t="s" s="365">
        <v>487</v>
      </c>
      <c r="B25" t="s" s="366">
        <v>1168</v>
      </c>
      <c r="C25" t="s" s="367">
        <v>1169</v>
      </c>
      <c r="D25" s="368"/>
      <c r="E25" s="368"/>
      <c r="F25" s="368"/>
      <c r="G25" s="368"/>
    </row>
    <row r="26" ht="20.35" customHeight="1">
      <c r="A26" t="s" s="365">
        <v>632</v>
      </c>
      <c r="B26" t="s" s="366">
        <v>1168</v>
      </c>
      <c r="C26" t="s" s="367">
        <v>1169</v>
      </c>
      <c r="D26" s="368"/>
      <c r="E26" s="368"/>
      <c r="F26" s="368"/>
      <c r="G26" s="368"/>
    </row>
    <row r="27" ht="20.35" customHeight="1">
      <c r="A27" t="s" s="365">
        <v>1170</v>
      </c>
      <c r="B27" t="s" s="366">
        <v>1168</v>
      </c>
      <c r="C27" t="s" s="367">
        <v>1169</v>
      </c>
      <c r="D27" s="368"/>
      <c r="E27" s="368"/>
      <c r="F27" s="368"/>
      <c r="G27" s="368"/>
    </row>
    <row r="28" ht="20.35" customHeight="1">
      <c r="A28" t="s" s="365">
        <v>1171</v>
      </c>
      <c r="B28" t="s" s="366">
        <v>1168</v>
      </c>
      <c r="C28" t="s" s="367">
        <v>1169</v>
      </c>
      <c r="D28" s="368"/>
      <c r="E28" s="368"/>
      <c r="F28" s="368"/>
      <c r="G28" s="368"/>
    </row>
    <row r="29" ht="20.35" customHeight="1">
      <c r="A29" t="s" s="365">
        <v>1172</v>
      </c>
      <c r="B29" t="s" s="366">
        <v>1168</v>
      </c>
      <c r="C29" t="s" s="367">
        <v>1169</v>
      </c>
      <c r="D29" s="368"/>
      <c r="E29" s="368"/>
      <c r="F29" s="368"/>
      <c r="G29" s="368"/>
    </row>
    <row r="30" ht="20.35" customHeight="1">
      <c r="A30" t="s" s="365">
        <v>1173</v>
      </c>
      <c r="B30" t="s" s="366">
        <v>1168</v>
      </c>
      <c r="C30" t="s" s="367">
        <v>1169</v>
      </c>
      <c r="D30" s="368"/>
      <c r="E30" s="368"/>
      <c r="F30" s="368"/>
      <c r="G30" s="368"/>
    </row>
  </sheetData>
  <mergeCells count="1">
    <mergeCell ref="A1:G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